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مؤشرات وملخص التوريد" sheetId="1" state="visible" r:id="rId1"/>
    <sheet xmlns:r="http://schemas.openxmlformats.org/officeDocument/2006/relationships" name="تفريد حديد الأعمدة الطولي" sheetId="2" state="visible" r:id="rId2"/>
    <sheet xmlns:r="http://schemas.openxmlformats.org/officeDocument/2006/relationships" name="حساب وتفصيل كانات الأعمدة" sheetId="3" state="visible" r:id="rId3"/>
    <sheet xmlns:r="http://schemas.openxmlformats.org/officeDocument/2006/relationships" name="الأكواد والمحددات الهندسي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%"/>
    <numFmt numFmtId="166" formatCode="0.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FFFFFF"/>
      <sz val="10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475569"/>
      <sz val="9"/>
    </font>
    <font>
      <name val="Segoe UI"/>
      <b val="1"/>
      <color rgb="001E3A8A"/>
      <sz val="16"/>
    </font>
    <font>
      <name val="Segoe UI"/>
      <i val="1"/>
      <color rgb="0064748B"/>
      <sz val="8"/>
    </font>
    <font>
      <name val="Segoe UI"/>
      <b val="1"/>
      <color rgb="001E293B"/>
      <sz val="11"/>
    </font>
    <font>
      <name val="Segoe UI"/>
      <b val="1"/>
      <color rgb="00FFFFFF"/>
      <sz val="9"/>
    </font>
    <font>
      <name val="Segoe UI"/>
      <b val="1"/>
      <color rgb="00065F46"/>
      <sz val="9"/>
    </font>
    <font>
      <name val="Segoe UI"/>
      <b val="1"/>
      <color rgb="00065F46"/>
      <sz val="10"/>
    </font>
    <font>
      <name val="Segoe UI"/>
      <b val="1"/>
      <color rgb="00334155"/>
      <sz val="9"/>
    </font>
    <font>
      <name val="Segoe UI"/>
      <b val="1"/>
      <color rgb="001E3A8A"/>
      <sz val="9"/>
    </font>
  </fonts>
  <fills count="9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ECFDF5"/>
        <bgColor rgb="00ECFDF5"/>
      </patternFill>
    </fill>
    <fill>
      <patternFill patternType="solid">
        <fgColor rgb="00334155"/>
        <bgColor rgb="00334155"/>
      </patternFill>
    </fill>
    <fill>
      <patternFill patternType="solid">
        <fgColor rgb="00E2E8F0"/>
        <bgColor rgb="00E2E8F0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5F46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6" fillId="4" borderId="1" applyAlignment="1" pivotButton="0" quotePrefix="0" xfId="0">
      <alignment horizontal="center" vertical="center" wrapText="1"/>
    </xf>
    <xf numFmtId="3" fontId="6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center" vertical="center" wrapText="1"/>
    </xf>
    <xf numFmtId="4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4" fontId="10" fillId="5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4" fontId="4" fillId="4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4" fontId="10" fillId="4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 wrapText="1"/>
    </xf>
    <xf numFmtId="4" fontId="11" fillId="6" borderId="2" applyAlignment="1" pivotButton="0" quotePrefix="0" xfId="0">
      <alignment horizontal="center" vertical="center" wrapText="1"/>
    </xf>
    <xf numFmtId="164" fontId="11" fillId="6" borderId="2" applyAlignment="1" pivotButton="0" quotePrefix="0" xfId="0">
      <alignment horizontal="center" vertical="center" wrapText="1"/>
    </xf>
    <xf numFmtId="3" fontId="11" fillId="6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7" borderId="0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right" vertical="center" wrapText="1"/>
    </xf>
    <xf numFmtId="2" fontId="4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2" fontId="4" fillId="4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0" fontId="0" fillId="4" borderId="1" pivotButton="0" quotePrefix="0" xfId="0"/>
    <xf numFmtId="0" fontId="13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1" rightToLeft="1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20" customWidth="1" min="4" max="4"/>
    <col width="20" customWidth="1" min="5" max="5"/>
    <col width="20" customWidth="1" min="6" max="6"/>
    <col width="20" customWidth="1" min="7" max="7"/>
    <col width="16" customWidth="1" min="8" max="8"/>
    <col width="22" customWidth="1" min="9" max="9"/>
    <col width="24" customWidth="1" min="10" max="10"/>
  </cols>
  <sheetData>
    <row r="1" ht="38" customHeight="1">
      <c r="A1" s="1" t="inlineStr">
        <is>
          <t>شيت تفريد وحصر حديد الأعمدة وحساب طول الكانات الإنشائية والزلزالية</t>
        </is>
      </c>
    </row>
    <row r="2" ht="24" customHeight="1">
      <c r="A2" s="2" t="inlineStr">
        <is>
          <t>حساب دقيق لأشاير الأعمدة والتجنيب والوصلات المتراكبة وتكثيف الكانات ومحيط الكانات المركبة</t>
        </is>
      </c>
    </row>
    <row r="4" ht="22" customHeight="1">
      <c r="A4" s="3" t="inlineStr">
        <is>
          <t>اسم المشروع:</t>
        </is>
      </c>
      <c r="B4" s="4" t="inlineStr">
        <is>
          <t>مشروع إنشاء برج الفخامة السكني (أرضي + 8 أدوار متكررة)</t>
        </is>
      </c>
      <c r="F4" s="3" t="inlineStr">
        <is>
          <t>تاريخ الحصر:</t>
        </is>
      </c>
      <c r="G4" s="4" t="inlineStr">
        <is>
          <t>2026-10-01</t>
        </is>
      </c>
    </row>
    <row r="5" ht="22" customHeight="1">
      <c r="A5" s="3" t="inlineStr">
        <is>
          <t>استشاري المشروع:</t>
        </is>
      </c>
      <c r="B5" s="4" t="inlineStr">
        <is>
          <t>مكتب دار الهندسة والإنشاءات الاستشارية</t>
        </is>
      </c>
      <c r="F5" s="3" t="inlineStr">
        <is>
          <t>رقم الإصدار:</t>
        </is>
      </c>
      <c r="G5" s="4" t="inlineStr">
        <is>
          <t>Rev 01 - معتمد للتشغيل</t>
        </is>
      </c>
    </row>
    <row r="6" ht="22" customHeight="1">
      <c r="A6" s="3" t="inlineStr">
        <is>
          <t>المقاول العام:</t>
        </is>
      </c>
      <c r="B6" s="4" t="inlineStr">
        <is>
          <t>شركة الأفق للمقاولات والتطوير العقاري</t>
        </is>
      </c>
      <c r="F6" s="3" t="inlineStr">
        <is>
          <t>الكود المعتمد:</t>
        </is>
      </c>
      <c r="G6" s="4" t="inlineStr">
        <is>
          <t>ECP 203 (المصري) / SBC 304 (السعودي) / ACI 318</t>
        </is>
      </c>
    </row>
    <row r="8" ht="18" customHeight="1">
      <c r="A8" s="5" t="inlineStr">
        <is>
          <t>إجمالي حديد الأعمدة الصافي</t>
        </is>
      </c>
      <c r="B8" s="6" t="n"/>
      <c r="C8" s="5" t="inlineStr">
        <is>
          <t>الوزن الإجمالي شامل الهالك</t>
        </is>
      </c>
      <c r="D8" s="6" t="n"/>
      <c r="E8" s="5" t="inlineStr">
        <is>
          <t>إجمالي عدد الأسياخ القياسية (12م)</t>
        </is>
      </c>
      <c r="F8" s="6" t="n"/>
      <c r="G8" s="6" t="n"/>
      <c r="H8" s="5" t="inlineStr">
        <is>
          <t>التكلفة التقديرية للحديد</t>
        </is>
      </c>
      <c r="I8" s="6" t="n"/>
      <c r="J8" s="6" t="n"/>
    </row>
    <row r="9" ht="28" customHeight="1">
      <c r="A9" s="7">
        <f>G23</f>
        <v/>
      </c>
      <c r="B9" s="6" t="n"/>
      <c r="C9" s="7">
        <f>I23</f>
        <v/>
      </c>
      <c r="D9" s="6" t="n"/>
      <c r="E9" s="8">
        <f>J23</f>
        <v/>
      </c>
      <c r="F9" s="6" t="n"/>
      <c r="G9" s="6" t="n"/>
      <c r="H9" s="8">
        <f>I23*35000</f>
        <v/>
      </c>
      <c r="I9" s="6" t="n"/>
      <c r="J9" s="6" t="n"/>
    </row>
    <row r="10" ht="18" customHeight="1">
      <c r="A10" s="9" t="inlineStr">
        <is>
          <t>طن متري صافي</t>
        </is>
      </c>
      <c r="B10" s="6" t="n"/>
      <c r="C10" s="9" t="inlineStr">
        <is>
          <t>طن شامل هالك 4.5%</t>
        </is>
      </c>
      <c r="D10" s="6" t="n"/>
      <c r="E10" s="9" t="inlineStr">
        <is>
          <t>سيخ 12م للطلبية</t>
        </is>
      </c>
      <c r="F10" s="6" t="n"/>
      <c r="G10" s="6" t="n"/>
      <c r="H10" s="9" t="inlineStr">
        <is>
          <t>جنيه/ريال (فئة 35,000)</t>
        </is>
      </c>
      <c r="I10" s="6" t="n"/>
      <c r="J10" s="6" t="n"/>
    </row>
    <row r="12" ht="26" customHeight="1">
      <c r="A12" s="10" t="inlineStr">
        <is>
          <t>📌 ملخص طلبيات وتوريد حديد الأعمدة والكانات بالأقطار والهالك</t>
        </is>
      </c>
    </row>
    <row r="13" ht="26" customHeight="1">
      <c r="A13" s="11" t="inlineStr">
        <is>
          <t>م</t>
        </is>
      </c>
      <c r="B13" s="11" t="inlineStr">
        <is>
          <t>قطر السيخ (Φ ملم)</t>
        </is>
      </c>
      <c r="C13" s="11" t="inlineStr">
        <is>
          <t>وزن المتر الطولي (كجم/م)</t>
        </is>
      </c>
      <c r="D13" s="11" t="inlineStr">
        <is>
          <t>طول الحديد الطولي (م)</t>
        </is>
      </c>
      <c r="E13" s="11" t="inlineStr">
        <is>
          <t>إجمالي طول الكانات (م)</t>
        </is>
      </c>
      <c r="F13" s="11" t="inlineStr">
        <is>
          <t>إجمالي الطول الكلي (م)</t>
        </is>
      </c>
      <c r="G13" s="11" t="inlineStr">
        <is>
          <t>إجمالي الوزن الصافي (طن)</t>
        </is>
      </c>
      <c r="H13" s="11" t="inlineStr">
        <is>
          <t>نسبة الهالك المقدرة (%)</t>
        </is>
      </c>
      <c r="I13" s="11" t="inlineStr">
        <is>
          <t>إجمالي وزن الطلبية شامل الهالك (طن)</t>
        </is>
      </c>
      <c r="J13" s="11" t="inlineStr">
        <is>
          <t>عدد الأسياخ القياسية (12 م) المطلوبة</t>
        </is>
      </c>
    </row>
    <row r="14" ht="22" customHeight="1">
      <c r="A14" s="12" t="n">
        <v>1</v>
      </c>
      <c r="B14" s="12" t="inlineStr">
        <is>
          <t>Φ 8</t>
        </is>
      </c>
      <c r="C14" s="13">
        <f>ROUND((8^2)/162, 3)</f>
        <v/>
      </c>
      <c r="D14" s="14">
        <f>SUMIF('تفريد حديد الأعمدة الطولي'!$I$6:$I$30, 8, 'تفريد حديد الأعمدة الطولي'!$P$6:$P$30)</f>
        <v/>
      </c>
      <c r="E14" s="14">
        <f>SUMIF('حساب وتفصيل كانات الأعمدة'!$I$6:$I$30, 8, 'حساب وتفصيل كانات الأعمدة'!$T$6:$T$30)</f>
        <v/>
      </c>
      <c r="F14" s="15">
        <f>D14+E14</f>
        <v/>
      </c>
      <c r="G14" s="16">
        <f>(F14*C14)/1000</f>
        <v/>
      </c>
      <c r="H14" s="17" t="n">
        <v>0.05</v>
      </c>
      <c r="I14" s="18">
        <f>G14*(1+H14)</f>
        <v/>
      </c>
      <c r="J14" s="19">
        <f>ROUNDUP((F14*(1+H14))/12, 0)</f>
        <v/>
      </c>
    </row>
    <row r="15" ht="22" customHeight="1">
      <c r="A15" s="20" t="n">
        <v>2</v>
      </c>
      <c r="B15" s="20" t="inlineStr">
        <is>
          <t>Φ 10</t>
        </is>
      </c>
      <c r="C15" s="21">
        <f>ROUND((10^2)/162, 3)</f>
        <v/>
      </c>
      <c r="D15" s="22">
        <f>SUMIF('تفريد حديد الأعمدة الطولي'!$I$6:$I$30, 10, 'تفريد حديد الأعمدة الطولي'!$P$6:$P$30)</f>
        <v/>
      </c>
      <c r="E15" s="22">
        <f>SUMIF('حساب وتفصيل كانات الأعمدة'!$I$6:$I$30, 10, 'حساب وتفصيل كانات الأعمدة'!$T$6:$T$30)</f>
        <v/>
      </c>
      <c r="F15" s="23">
        <f>D15+E15</f>
        <v/>
      </c>
      <c r="G15" s="24">
        <f>(F15*C15)/1000</f>
        <v/>
      </c>
      <c r="H15" s="25" t="n">
        <v>0.05</v>
      </c>
      <c r="I15" s="26">
        <f>G15*(1+H15)</f>
        <v/>
      </c>
      <c r="J15" s="27">
        <f>ROUNDUP((F15*(1+H15))/12, 0)</f>
        <v/>
      </c>
    </row>
    <row r="16" ht="22" customHeight="1">
      <c r="A16" s="12" t="n">
        <v>3</v>
      </c>
      <c r="B16" s="12" t="inlineStr">
        <is>
          <t>Φ 12</t>
        </is>
      </c>
      <c r="C16" s="13">
        <f>ROUND((12^2)/162, 3)</f>
        <v/>
      </c>
      <c r="D16" s="14">
        <f>SUMIF('تفريد حديد الأعمدة الطولي'!$I$6:$I$30, 12, 'تفريد حديد الأعمدة الطولي'!$P$6:$P$30)</f>
        <v/>
      </c>
      <c r="E16" s="14">
        <f>SUMIF('حساب وتفصيل كانات الأعمدة'!$I$6:$I$30, 12, 'حساب وتفصيل كانات الأعمدة'!$T$6:$T$30)</f>
        <v/>
      </c>
      <c r="F16" s="15">
        <f>D16+E16</f>
        <v/>
      </c>
      <c r="G16" s="16">
        <f>(F16*C16)/1000</f>
        <v/>
      </c>
      <c r="H16" s="17" t="n">
        <v>0.04</v>
      </c>
      <c r="I16" s="18">
        <f>G16*(1+H16)</f>
        <v/>
      </c>
      <c r="J16" s="19">
        <f>ROUNDUP((F16*(1+H16))/12, 0)</f>
        <v/>
      </c>
    </row>
    <row r="17" ht="22" customHeight="1">
      <c r="A17" s="20" t="n">
        <v>4</v>
      </c>
      <c r="B17" s="20" t="inlineStr">
        <is>
          <t>Φ 14</t>
        </is>
      </c>
      <c r="C17" s="21">
        <f>ROUND((14^2)/162, 3)</f>
        <v/>
      </c>
      <c r="D17" s="22">
        <f>SUMIF('تفريد حديد الأعمدة الطولي'!$I$6:$I$30, 14, 'تفريد حديد الأعمدة الطولي'!$P$6:$P$30)</f>
        <v/>
      </c>
      <c r="E17" s="22">
        <f>SUMIF('حساب وتفصيل كانات الأعمدة'!$I$6:$I$30, 14, 'حساب وتفصيل كانات الأعمدة'!$T$6:$T$30)</f>
        <v/>
      </c>
      <c r="F17" s="23">
        <f>D17+E17</f>
        <v/>
      </c>
      <c r="G17" s="24">
        <f>(F17*C17)/1000</f>
        <v/>
      </c>
      <c r="H17" s="25" t="n">
        <v>0.04</v>
      </c>
      <c r="I17" s="26">
        <f>G17*(1+H17)</f>
        <v/>
      </c>
      <c r="J17" s="27">
        <f>ROUNDUP((F17*(1+H17))/12, 0)</f>
        <v/>
      </c>
    </row>
    <row r="18" ht="22" customHeight="1">
      <c r="A18" s="12" t="n">
        <v>5</v>
      </c>
      <c r="B18" s="12" t="inlineStr">
        <is>
          <t>Φ 16</t>
        </is>
      </c>
      <c r="C18" s="13">
        <f>ROUND((16^2)/162, 3)</f>
        <v/>
      </c>
      <c r="D18" s="14">
        <f>SUMIF('تفريد حديد الأعمدة الطولي'!$I$6:$I$30, 16, 'تفريد حديد الأعمدة الطولي'!$P$6:$P$30)</f>
        <v/>
      </c>
      <c r="E18" s="14">
        <f>SUMIF('حساب وتفصيل كانات الأعمدة'!$I$6:$I$30, 16, 'حساب وتفصيل كانات الأعمدة'!$T$6:$T$30)</f>
        <v/>
      </c>
      <c r="F18" s="15">
        <f>D18+E18</f>
        <v/>
      </c>
      <c r="G18" s="16">
        <f>(F18*C18)/1000</f>
        <v/>
      </c>
      <c r="H18" s="17" t="n">
        <v>0.04</v>
      </c>
      <c r="I18" s="18">
        <f>G18*(1+H18)</f>
        <v/>
      </c>
      <c r="J18" s="19">
        <f>ROUNDUP((F18*(1+H18))/12, 0)</f>
        <v/>
      </c>
    </row>
    <row r="19" ht="22" customHeight="1">
      <c r="A19" s="20" t="n">
        <v>6</v>
      </c>
      <c r="B19" s="20" t="inlineStr">
        <is>
          <t>Φ 18</t>
        </is>
      </c>
      <c r="C19" s="21">
        <f>ROUND((18^2)/162, 3)</f>
        <v/>
      </c>
      <c r="D19" s="22">
        <f>SUMIF('تفريد حديد الأعمدة الطولي'!$I$6:$I$30, 18, 'تفريد حديد الأعمدة الطولي'!$P$6:$P$30)</f>
        <v/>
      </c>
      <c r="E19" s="22">
        <f>SUMIF('حساب وتفصيل كانات الأعمدة'!$I$6:$I$30, 18, 'حساب وتفصيل كانات الأعمدة'!$T$6:$T$30)</f>
        <v/>
      </c>
      <c r="F19" s="23">
        <f>D19+E19</f>
        <v/>
      </c>
      <c r="G19" s="24">
        <f>(F19*C19)/1000</f>
        <v/>
      </c>
      <c r="H19" s="25" t="n">
        <v>0.04</v>
      </c>
      <c r="I19" s="26">
        <f>G19*(1+H19)</f>
        <v/>
      </c>
      <c r="J19" s="27">
        <f>ROUNDUP((F19*(1+H19))/12, 0)</f>
        <v/>
      </c>
    </row>
    <row r="20" ht="22" customHeight="1">
      <c r="A20" s="12" t="n">
        <v>7</v>
      </c>
      <c r="B20" s="12" t="inlineStr">
        <is>
          <t>Φ 20</t>
        </is>
      </c>
      <c r="C20" s="13">
        <f>ROUND((20^2)/162, 3)</f>
        <v/>
      </c>
      <c r="D20" s="14">
        <f>SUMIF('تفريد حديد الأعمدة الطولي'!$I$6:$I$30, 20, 'تفريد حديد الأعمدة الطولي'!$P$6:$P$30)</f>
        <v/>
      </c>
      <c r="E20" s="14">
        <f>SUMIF('حساب وتفصيل كانات الأعمدة'!$I$6:$I$30, 20, 'حساب وتفصيل كانات الأعمدة'!$T$6:$T$30)</f>
        <v/>
      </c>
      <c r="F20" s="15">
        <f>D20+E20</f>
        <v/>
      </c>
      <c r="G20" s="16">
        <f>(F20*C20)/1000</f>
        <v/>
      </c>
      <c r="H20" s="17" t="n">
        <v>0.04</v>
      </c>
      <c r="I20" s="18">
        <f>G20*(1+H20)</f>
        <v/>
      </c>
      <c r="J20" s="19">
        <f>ROUNDUP((F20*(1+H20))/12, 0)</f>
        <v/>
      </c>
    </row>
    <row r="21" ht="22" customHeight="1">
      <c r="A21" s="20" t="n">
        <v>8</v>
      </c>
      <c r="B21" s="20" t="inlineStr">
        <is>
          <t>Φ 22</t>
        </is>
      </c>
      <c r="C21" s="21">
        <f>ROUND((22^2)/162, 3)</f>
        <v/>
      </c>
      <c r="D21" s="22">
        <f>SUMIF('تفريد حديد الأعمدة الطولي'!$I$6:$I$30, 22, 'تفريد حديد الأعمدة الطولي'!$P$6:$P$30)</f>
        <v/>
      </c>
      <c r="E21" s="22">
        <f>SUMIF('حساب وتفصيل كانات الأعمدة'!$I$6:$I$30, 22, 'حساب وتفصيل كانات الأعمدة'!$T$6:$T$30)</f>
        <v/>
      </c>
      <c r="F21" s="23">
        <f>D21+E21</f>
        <v/>
      </c>
      <c r="G21" s="24">
        <f>(F21*C21)/1000</f>
        <v/>
      </c>
      <c r="H21" s="25" t="n">
        <v>0.04</v>
      </c>
      <c r="I21" s="26">
        <f>G21*(1+H21)</f>
        <v/>
      </c>
      <c r="J21" s="27">
        <f>ROUNDUP((F21*(1+H21))/12, 0)</f>
        <v/>
      </c>
    </row>
    <row r="22" ht="22" customHeight="1">
      <c r="A22" s="12" t="n">
        <v>9</v>
      </c>
      <c r="B22" s="12" t="inlineStr">
        <is>
          <t>Φ 25</t>
        </is>
      </c>
      <c r="C22" s="13">
        <f>ROUND((25^2)/162, 3)</f>
        <v/>
      </c>
      <c r="D22" s="14">
        <f>SUMIF('تفريد حديد الأعمدة الطولي'!$I$6:$I$30, 25, 'تفريد حديد الأعمدة الطولي'!$P$6:$P$30)</f>
        <v/>
      </c>
      <c r="E22" s="14">
        <f>SUMIF('حساب وتفصيل كانات الأعمدة'!$I$6:$I$30, 25, 'حساب وتفصيل كانات الأعمدة'!$T$6:$T$30)</f>
        <v/>
      </c>
      <c r="F22" s="15">
        <f>D22+E22</f>
        <v/>
      </c>
      <c r="G22" s="16">
        <f>(F22*C22)/1000</f>
        <v/>
      </c>
      <c r="H22" s="17" t="n">
        <v>0.04</v>
      </c>
      <c r="I22" s="18">
        <f>G22*(1+H22)</f>
        <v/>
      </c>
      <c r="J22" s="19">
        <f>ROUNDUP((F22*(1+H22))/12, 0)</f>
        <v/>
      </c>
    </row>
    <row r="23" ht="25" customHeight="1">
      <c r="A23" s="28" t="inlineStr">
        <is>
          <t>الإجمالي الكلي</t>
        </is>
      </c>
      <c r="B23" s="28" t="n"/>
      <c r="C23" s="28" t="n"/>
      <c r="D23" s="29">
        <f>SUM(D14:D22)</f>
        <v/>
      </c>
      <c r="E23" s="29">
        <f>SUM(E14:E22)</f>
        <v/>
      </c>
      <c r="F23" s="29">
        <f>SUM(F14:F22)</f>
        <v/>
      </c>
      <c r="G23" s="30">
        <f>SUM(G14:G22)</f>
        <v/>
      </c>
      <c r="H23" s="28" t="inlineStr">
        <is>
          <t>-</t>
        </is>
      </c>
      <c r="I23" s="30">
        <f>SUM(I14:I22)</f>
        <v/>
      </c>
      <c r="J23" s="31">
        <f>SUM(J14:J22)</f>
        <v/>
      </c>
    </row>
    <row r="26">
      <c r="A26" s="32" t="inlineStr">
        <is>
          <t>مهندس المكتب الفني (إعداد وحصر):</t>
        </is>
      </c>
      <c r="D26" s="32" t="inlineStr">
        <is>
          <t>مدير المشروع (مراجعة وتدقيق):</t>
        </is>
      </c>
      <c r="H26" s="32" t="inlineStr">
        <is>
          <t>استشاري المشروع (اعتماد التنفيذ):</t>
        </is>
      </c>
    </row>
    <row r="28">
      <c r="A28" s="4" t="inlineStr">
        <is>
          <t>الاسم والتوقيع: .......................................</t>
        </is>
      </c>
      <c r="D28" s="4" t="inlineStr">
        <is>
          <t>الاسم والتوقيع: .......................................</t>
        </is>
      </c>
      <c r="H28" s="4" t="inlineStr">
        <is>
          <t>الختم والاعتماد: .......................................</t>
        </is>
      </c>
    </row>
  </sheetData>
  <mergeCells count="22">
    <mergeCell ref="E10:G10"/>
    <mergeCell ref="G4:J4"/>
    <mergeCell ref="B6:E6"/>
    <mergeCell ref="E9:G9"/>
    <mergeCell ref="B5:E5"/>
    <mergeCell ref="C10:D10"/>
    <mergeCell ref="B4:E4"/>
    <mergeCell ref="A23:C23"/>
    <mergeCell ref="C9:D9"/>
    <mergeCell ref="A1:J1"/>
    <mergeCell ref="H8:J8"/>
    <mergeCell ref="A8:B8"/>
    <mergeCell ref="C8:D8"/>
    <mergeCell ref="G6:J6"/>
    <mergeCell ref="H10:J10"/>
    <mergeCell ref="A10:B10"/>
    <mergeCell ref="E8:G8"/>
    <mergeCell ref="A12:J12"/>
    <mergeCell ref="H9:J9"/>
    <mergeCell ref="A2:J2"/>
    <mergeCell ref="A9:B9"/>
    <mergeCell ref="G5: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1"/>
  <sheetViews>
    <sheetView showGridLines="1" rightToLeft="1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10" customWidth="1" min="4" max="4"/>
    <col width="9" customWidth="1" min="5" max="5"/>
    <col width="9" customWidth="1" min="6" max="6"/>
    <col width="10" customWidth="1" min="7" max="7"/>
    <col width="16" customWidth="1" min="8" max="8"/>
    <col width="10" customWidth="1" min="9" max="9"/>
    <col width="12" customWidth="1" min="10" max="10"/>
    <col width="12" customWidth="1" min="11" max="11"/>
    <col width="13" customWidth="1" min="12" max="12"/>
    <col width="11" customWidth="1" min="13" max="13"/>
    <col width="12" customWidth="1" min="14" max="14"/>
    <col width="11" customWidth="1" min="15" max="15"/>
    <col width="13" customWidth="1" min="16" max="16"/>
    <col width="15" customWidth="1" min="17" max="17"/>
    <col width="13" customWidth="1" min="18" max="18"/>
    <col width="14" customWidth="1" min="19" max="19"/>
    <col width="22" customWidth="1" min="20" max="20"/>
  </cols>
  <sheetData>
    <row r="1" ht="36" customHeight="1">
      <c r="A1" s="1" t="inlineStr">
        <is>
          <t>جدول تفريد وتفصيل حديد التسليح الطولي للأعمدة (Columns Longitudinal Rebar BBS)</t>
        </is>
      </c>
    </row>
    <row r="2" ht="22" customHeight="1">
      <c r="A2" s="33" t="inlineStr">
        <is>
          <t>حساب أشاير الأساسات + ارتفاع الطابق الخالص + سمك البلاطة + طول وصلة التراكب (Lap Splice = 60Φ) + تجنيب الأسياخ (Cranking 1:6)</t>
        </is>
      </c>
    </row>
    <row r="4" ht="24" customHeight="1">
      <c r="A4" s="11" t="inlineStr">
        <is>
          <t>م</t>
        </is>
      </c>
      <c r="B4" s="11" t="inlineStr">
        <is>
          <t>نموذج العمود</t>
        </is>
      </c>
      <c r="C4" s="11" t="inlineStr">
        <is>
          <t>الدور / المنسوب</t>
        </is>
      </c>
      <c r="D4" s="11" t="inlineStr">
        <is>
          <t>العدد المتكرر</t>
        </is>
      </c>
      <c r="E4" s="11" t="inlineStr">
        <is>
          <t>أبعاد العمود والارتفاع (م)</t>
        </is>
      </c>
      <c r="F4" s="6" t="n"/>
      <c r="G4" s="6" t="n"/>
      <c r="H4" s="11" t="inlineStr">
        <is>
          <t>موضع وطبقة السيخ</t>
        </is>
      </c>
      <c r="I4" s="11" t="inlineStr">
        <is>
          <t>القطر Φ (ملم)</t>
        </is>
      </c>
      <c r="J4" s="11" t="inlineStr">
        <is>
          <t>الأسياخ بالمقطع</t>
        </is>
      </c>
      <c r="K4" s="11" t="inlineStr">
        <is>
          <t>إجمالي الأسياخ</t>
        </is>
      </c>
      <c r="L4" s="11" t="inlineStr">
        <is>
          <t>طول الوصلة Lap (م)</t>
        </is>
      </c>
      <c r="M4" s="11" t="inlineStr">
        <is>
          <t>تفاصيل وتشكيل أضلاع السيخ (م)</t>
        </is>
      </c>
      <c r="N4" s="6" t="n"/>
      <c r="O4" s="6" t="n"/>
      <c r="P4" s="11" t="inlineStr">
        <is>
          <t>طول القطعية (م)</t>
        </is>
      </c>
      <c r="Q4" s="11" t="inlineStr">
        <is>
          <t>إجمالي الأطوال (م)</t>
        </is>
      </c>
      <c r="R4" s="11" t="inlineStr">
        <is>
          <t>وزن المتر (كجم/م)</t>
        </is>
      </c>
      <c r="S4" s="11" t="inlineStr">
        <is>
          <t>الوزن الكلي (طن)</t>
        </is>
      </c>
      <c r="T4" s="11" t="inlineStr">
        <is>
          <t>ملاحظات الوصلات والتجنيب</t>
        </is>
      </c>
    </row>
    <row r="5" ht="24" customHeight="1">
      <c r="A5" s="6" t="n"/>
      <c r="B5" s="6" t="n"/>
      <c r="C5" s="6" t="n"/>
      <c r="D5" s="6" t="n"/>
      <c r="E5" s="34" t="inlineStr">
        <is>
          <t>عرض b</t>
        </is>
      </c>
      <c r="F5" s="34" t="inlineStr">
        <is>
          <t>عمق t</t>
        </is>
      </c>
      <c r="G5" s="34" t="inlineStr">
        <is>
          <t>ارتفاع H</t>
        </is>
      </c>
      <c r="H5" s="6" t="n"/>
      <c r="I5" s="6" t="n"/>
      <c r="J5" s="6" t="n"/>
      <c r="K5" s="6" t="n"/>
      <c r="L5" s="6" t="n"/>
      <c r="M5" s="34" t="inlineStr">
        <is>
          <t>رجل/إشارة (Ld)</t>
        </is>
      </c>
      <c r="N5" s="34" t="inlineStr">
        <is>
          <t>طول السيخ بالدور</t>
        </is>
      </c>
      <c r="O5" s="34" t="inlineStr">
        <is>
          <t>وصلة/تكسيح</t>
        </is>
      </c>
      <c r="P5" s="6" t="n"/>
      <c r="Q5" s="6" t="n"/>
      <c r="R5" s="6" t="n"/>
      <c r="S5" s="6" t="n"/>
      <c r="T5" s="6" t="n"/>
    </row>
    <row r="6" ht="22" customHeight="1">
      <c r="A6" s="12" t="n">
        <v>1</v>
      </c>
      <c r="B6" s="35" t="inlineStr">
        <is>
          <t>ع1</t>
        </is>
      </c>
      <c r="C6" s="36" t="inlineStr">
        <is>
          <t>أشاير أساسات ➔ أرضي</t>
        </is>
      </c>
      <c r="D6" s="12" t="n">
        <v>6</v>
      </c>
      <c r="E6" s="12" t="n">
        <v>0.3</v>
      </c>
      <c r="F6" s="12" t="n">
        <v>0.6</v>
      </c>
      <c r="G6" s="12" t="n">
        <v>4</v>
      </c>
      <c r="H6" s="36" t="inlineStr">
        <is>
          <t>أشاير قواعد (Starter)</t>
        </is>
      </c>
      <c r="I6" s="35" t="n">
        <v>16</v>
      </c>
      <c r="J6" s="12" t="n">
        <v>10</v>
      </c>
      <c r="K6" s="35">
        <f>D6*J6</f>
        <v/>
      </c>
      <c r="L6" s="37">
        <f>60*(I6/1000)</f>
        <v/>
      </c>
      <c r="M6" s="37">
        <f>0.50</f>
        <v/>
      </c>
      <c r="N6" s="37">
        <f>G6</f>
        <v/>
      </c>
      <c r="O6" s="37">
        <f>L6</f>
        <v/>
      </c>
      <c r="P6" s="38">
        <f>ROUND(M6+N6+O6, 2)</f>
        <v/>
      </c>
      <c r="Q6" s="15">
        <f>K6*P6</f>
        <v/>
      </c>
      <c r="R6" s="13">
        <f>ROUND((I6^2)/162, 3)</f>
        <v/>
      </c>
      <c r="S6" s="16">
        <f>(Q6*R6)/1000</f>
        <v/>
      </c>
      <c r="T6" s="36" t="inlineStr">
        <is>
          <t>رجل قائمة 50 سم بقاع القاعدة + تراكب 60Φ</t>
        </is>
      </c>
    </row>
    <row r="7" ht="22" customHeight="1">
      <c r="A7" s="20" t="n">
        <v>2</v>
      </c>
      <c r="B7" s="39" t="inlineStr">
        <is>
          <t>ع1</t>
        </is>
      </c>
      <c r="C7" s="40" t="inlineStr">
        <is>
          <t>الدور الأرضي</t>
        </is>
      </c>
      <c r="D7" s="20" t="n">
        <v>6</v>
      </c>
      <c r="E7" s="20" t="n">
        <v>0.3</v>
      </c>
      <c r="F7" s="20" t="n">
        <v>0.6</v>
      </c>
      <c r="G7" s="20" t="n">
        <v>3.8</v>
      </c>
      <c r="H7" s="40" t="inlineStr">
        <is>
          <t>حديد طولي كامل</t>
        </is>
      </c>
      <c r="I7" s="39" t="n">
        <v>16</v>
      </c>
      <c r="J7" s="20" t="n">
        <v>10</v>
      </c>
      <c r="K7" s="39">
        <f>D7*J7</f>
        <v/>
      </c>
      <c r="L7" s="41">
        <f>60*(I7/1000)</f>
        <v/>
      </c>
      <c r="M7" s="41">
        <f>0.00</f>
        <v/>
      </c>
      <c r="N7" s="41">
        <f>G7</f>
        <v/>
      </c>
      <c r="O7" s="41">
        <f>L7</f>
        <v/>
      </c>
      <c r="P7" s="42">
        <f>ROUND(M7+N7+O7, 2)</f>
        <v/>
      </c>
      <c r="Q7" s="23">
        <f>K7*P7</f>
        <v/>
      </c>
      <c r="R7" s="21">
        <f>ROUND((I7^2)/162, 3)</f>
        <v/>
      </c>
      <c r="S7" s="24">
        <f>(Q7*R7)/1000</f>
        <v/>
      </c>
      <c r="T7" s="40" t="inlineStr">
        <is>
          <t>وصلة تراكب فوق بلاطة الأرضي بمسافة 60Φ</t>
        </is>
      </c>
    </row>
    <row r="8" ht="22" customHeight="1">
      <c r="A8" s="12" t="n">
        <v>3</v>
      </c>
      <c r="B8" s="35" t="inlineStr">
        <is>
          <t>ع1</t>
        </is>
      </c>
      <c r="C8" s="36" t="inlineStr">
        <is>
          <t>متكرر (أول - رابع)</t>
        </is>
      </c>
      <c r="D8" s="12" t="n">
        <v>24</v>
      </c>
      <c r="E8" s="12" t="n">
        <v>0.3</v>
      </c>
      <c r="F8" s="12" t="n">
        <v>0.6</v>
      </c>
      <c r="G8" s="12" t="n">
        <v>3.2</v>
      </c>
      <c r="H8" s="36" t="inlineStr">
        <is>
          <t>حديد طولي متكرر</t>
        </is>
      </c>
      <c r="I8" s="35" t="n">
        <v>16</v>
      </c>
      <c r="J8" s="12" t="n">
        <v>10</v>
      </c>
      <c r="K8" s="35">
        <f>D8*J8</f>
        <v/>
      </c>
      <c r="L8" s="37">
        <f>60*(I8/1000)</f>
        <v/>
      </c>
      <c r="M8" s="37">
        <f>0.00</f>
        <v/>
      </c>
      <c r="N8" s="37">
        <f>G8</f>
        <v/>
      </c>
      <c r="O8" s="37">
        <f>L8</f>
        <v/>
      </c>
      <c r="P8" s="38">
        <f>ROUND(M8+N8+O8, 2)</f>
        <v/>
      </c>
      <c r="Q8" s="15">
        <f>K8*P8</f>
        <v/>
      </c>
      <c r="R8" s="13">
        <f>ROUND((I8^2)/162, 3)</f>
        <v/>
      </c>
      <c r="S8" s="16">
        <f>(Q8*R8)/1000</f>
        <v/>
      </c>
      <c r="T8" s="36" t="inlineStr">
        <is>
          <t>تجنيب 1:6 عند استمرار القطاع للعلوي</t>
        </is>
      </c>
    </row>
    <row r="9" ht="22" customHeight="1">
      <c r="A9" s="20" t="n">
        <v>4</v>
      </c>
      <c r="B9" s="39" t="inlineStr">
        <is>
          <t>ع1</t>
        </is>
      </c>
      <c r="C9" s="40" t="inlineStr">
        <is>
          <t>الدور الأخير (سطح)</t>
        </is>
      </c>
      <c r="D9" s="20" t="n">
        <v>6</v>
      </c>
      <c r="E9" s="20" t="n">
        <v>0.3</v>
      </c>
      <c r="F9" s="20" t="n">
        <v>0.6</v>
      </c>
      <c r="G9" s="20" t="n">
        <v>3.2</v>
      </c>
      <c r="H9" s="40" t="inlineStr">
        <is>
          <t>نهاية عمود (قفل زاوية)</t>
        </is>
      </c>
      <c r="I9" s="39" t="n">
        <v>16</v>
      </c>
      <c r="J9" s="20" t="n">
        <v>10</v>
      </c>
      <c r="K9" s="39">
        <f>D9*J9</f>
        <v/>
      </c>
      <c r="L9" s="41">
        <f>0.40</f>
        <v/>
      </c>
      <c r="M9" s="41">
        <f>0.00</f>
        <v/>
      </c>
      <c r="N9" s="41">
        <f>G9</f>
        <v/>
      </c>
      <c r="O9" s="41">
        <f>L9</f>
        <v/>
      </c>
      <c r="P9" s="42">
        <f>ROUND(M9+N9+O9, 2)</f>
        <v/>
      </c>
      <c r="Q9" s="23">
        <f>K9*P9</f>
        <v/>
      </c>
      <c r="R9" s="21">
        <f>ROUND((I9^2)/162, 3)</f>
        <v/>
      </c>
      <c r="S9" s="24">
        <f>(Q9*R9)/1000</f>
        <v/>
      </c>
      <c r="T9" s="40" t="inlineStr">
        <is>
          <t>ثني الأسياخ برجل أفقية 40 سم داخل كمرة السطح</t>
        </is>
      </c>
    </row>
    <row r="10" ht="22" customHeight="1">
      <c r="A10" s="12" t="n">
        <v>5</v>
      </c>
      <c r="B10" s="35" t="inlineStr">
        <is>
          <t>ع2</t>
        </is>
      </c>
      <c r="C10" s="36" t="inlineStr">
        <is>
          <t>أشاير أساسات ➔ أرضي</t>
        </is>
      </c>
      <c r="D10" s="12" t="n">
        <v>8</v>
      </c>
      <c r="E10" s="12" t="n">
        <v>0.3</v>
      </c>
      <c r="F10" s="12" t="n">
        <v>0.8</v>
      </c>
      <c r="G10" s="12" t="n">
        <v>4.2</v>
      </c>
      <c r="H10" s="36" t="inlineStr">
        <is>
          <t>أشاير قواعد (Starter)</t>
        </is>
      </c>
      <c r="I10" s="35" t="n">
        <v>18</v>
      </c>
      <c r="J10" s="12" t="n">
        <v>14</v>
      </c>
      <c r="K10" s="35">
        <f>D10*J10</f>
        <v/>
      </c>
      <c r="L10" s="37">
        <f>60*(I10/1000)</f>
        <v/>
      </c>
      <c r="M10" s="37">
        <f>0.60</f>
        <v/>
      </c>
      <c r="N10" s="37">
        <f>G10</f>
        <v/>
      </c>
      <c r="O10" s="37">
        <f>L10</f>
        <v/>
      </c>
      <c r="P10" s="38">
        <f>ROUND(M10+N10+O10, 2)</f>
        <v/>
      </c>
      <c r="Q10" s="15">
        <f>K10*P10</f>
        <v/>
      </c>
      <c r="R10" s="13">
        <f>ROUND((I10^2)/162, 3)</f>
        <v/>
      </c>
      <c r="S10" s="16">
        <f>(Q10*R10)/1000</f>
        <v/>
      </c>
      <c r="T10" s="36" t="inlineStr">
        <is>
          <t>رجل بقاع القاعدة 60 سم + تراكب</t>
        </is>
      </c>
    </row>
    <row r="11" ht="22" customHeight="1">
      <c r="A11" s="20" t="n">
        <v>6</v>
      </c>
      <c r="B11" s="39" t="inlineStr">
        <is>
          <t>ع2</t>
        </is>
      </c>
      <c r="C11" s="40" t="inlineStr">
        <is>
          <t>الدور الأرضي</t>
        </is>
      </c>
      <c r="D11" s="20" t="n">
        <v>8</v>
      </c>
      <c r="E11" s="20" t="n">
        <v>0.3</v>
      </c>
      <c r="F11" s="20" t="n">
        <v>0.8</v>
      </c>
      <c r="G11" s="20" t="n">
        <v>4</v>
      </c>
      <c r="H11" s="40" t="inlineStr">
        <is>
          <t>حديد طولي كامل</t>
        </is>
      </c>
      <c r="I11" s="39" t="n">
        <v>18</v>
      </c>
      <c r="J11" s="20" t="n">
        <v>14</v>
      </c>
      <c r="K11" s="39">
        <f>D11*J11</f>
        <v/>
      </c>
      <c r="L11" s="41">
        <f>60*(I11/1000)</f>
        <v/>
      </c>
      <c r="M11" s="41">
        <f>0.00</f>
        <v/>
      </c>
      <c r="N11" s="41">
        <f>G11</f>
        <v/>
      </c>
      <c r="O11" s="41">
        <f>L11</f>
        <v/>
      </c>
      <c r="P11" s="42">
        <f>ROUND(M11+N11+O11, 2)</f>
        <v/>
      </c>
      <c r="Q11" s="23">
        <f>K11*P11</f>
        <v/>
      </c>
      <c r="R11" s="21">
        <f>ROUND((I11^2)/162, 3)</f>
        <v/>
      </c>
      <c r="S11" s="24">
        <f>(Q11*R11)/1000</f>
        <v/>
      </c>
      <c r="T11" s="40" t="inlineStr">
        <is>
          <t>توزيع منتظم بالمقطع مع الحفاظ على المسافات</t>
        </is>
      </c>
    </row>
    <row r="12" ht="22" customHeight="1">
      <c r="A12" s="12" t="n">
        <v>7</v>
      </c>
      <c r="B12" s="35" t="inlineStr">
        <is>
          <t>ع2</t>
        </is>
      </c>
      <c r="C12" s="36" t="inlineStr">
        <is>
          <t>متكرر (أول - رابع)</t>
        </is>
      </c>
      <c r="D12" s="12" t="n">
        <v>32</v>
      </c>
      <c r="E12" s="12" t="n">
        <v>0.3</v>
      </c>
      <c r="F12" s="12" t="n">
        <v>0.8</v>
      </c>
      <c r="G12" s="12" t="n">
        <v>3.2</v>
      </c>
      <c r="H12" s="36" t="inlineStr">
        <is>
          <t>حديد طولي متكرر</t>
        </is>
      </c>
      <c r="I12" s="35" t="n">
        <v>18</v>
      </c>
      <c r="J12" s="12" t="n">
        <v>14</v>
      </c>
      <c r="K12" s="35">
        <f>D12*J12</f>
        <v/>
      </c>
      <c r="L12" s="37">
        <f>60*(I12/1000)</f>
        <v/>
      </c>
      <c r="M12" s="37">
        <f>0.00</f>
        <v/>
      </c>
      <c r="N12" s="37">
        <f>G12</f>
        <v/>
      </c>
      <c r="O12" s="37">
        <f>L12</f>
        <v/>
      </c>
      <c r="P12" s="38">
        <f>ROUND(M12+N12+O12, 2)</f>
        <v/>
      </c>
      <c r="Q12" s="15">
        <f>K12*P12</f>
        <v/>
      </c>
      <c r="R12" s="13">
        <f>ROUND((I12^2)/162, 3)</f>
        <v/>
      </c>
      <c r="S12" s="16">
        <f>(Q12*R12)/1000</f>
        <v/>
      </c>
      <c r="T12" s="36" t="inlineStr">
        <is>
          <t>وصلة تبادلية (Staggered Splice) كل سيخين</t>
        </is>
      </c>
    </row>
    <row r="13" ht="22" customHeight="1">
      <c r="A13" s="20" t="n">
        <v>8</v>
      </c>
      <c r="B13" s="39" t="inlineStr">
        <is>
          <t>ع2</t>
        </is>
      </c>
      <c r="C13" s="40" t="inlineStr">
        <is>
          <t>متكرر (خامس - ثامن)</t>
        </is>
      </c>
      <c r="D13" s="20" t="n">
        <v>32</v>
      </c>
      <c r="E13" s="20" t="n">
        <v>0.3</v>
      </c>
      <c r="F13" s="20" t="n">
        <v>0.7</v>
      </c>
      <c r="G13" s="20" t="n">
        <v>3.2</v>
      </c>
      <c r="H13" s="40" t="inlineStr">
        <is>
          <t>تخفيض قطاع (قص عمود)</t>
        </is>
      </c>
      <c r="I13" s="39" t="n">
        <v>16</v>
      </c>
      <c r="J13" s="20" t="n">
        <v>12</v>
      </c>
      <c r="K13" s="39">
        <f>D13*J13</f>
        <v/>
      </c>
      <c r="L13" s="41">
        <f>60*(I13/1000)</f>
        <v/>
      </c>
      <c r="M13" s="41">
        <f>0.00</f>
        <v/>
      </c>
      <c r="N13" s="41">
        <f>G13</f>
        <v/>
      </c>
      <c r="O13" s="41">
        <f>L13</f>
        <v/>
      </c>
      <c r="P13" s="42">
        <f>ROUND(M13+N13+O13, 2)</f>
        <v/>
      </c>
      <c r="Q13" s="23">
        <f>K13*P13</f>
        <v/>
      </c>
      <c r="R13" s="21">
        <f>ROUND((I13^2)/162, 3)</f>
        <v/>
      </c>
      <c r="S13" s="24">
        <f>(Q13*R13)/1000</f>
        <v/>
      </c>
      <c r="T13" s="40" t="inlineStr">
        <is>
          <t>قص العمود بمقدار 10 سم وتجنيب الأسياخ بنسبة 1:6</t>
        </is>
      </c>
    </row>
    <row r="14" ht="22" customHeight="1">
      <c r="A14" s="12" t="n">
        <v>9</v>
      </c>
      <c r="B14" s="35" t="inlineStr">
        <is>
          <t>ع2</t>
        </is>
      </c>
      <c r="C14" s="36" t="inlineStr">
        <is>
          <t>الدور الأخير (سطح)</t>
        </is>
      </c>
      <c r="D14" s="12" t="n">
        <v>8</v>
      </c>
      <c r="E14" s="12" t="n">
        <v>0.3</v>
      </c>
      <c r="F14" s="12" t="n">
        <v>0.7</v>
      </c>
      <c r="G14" s="12" t="n">
        <v>3.2</v>
      </c>
      <c r="H14" s="36" t="inlineStr">
        <is>
          <t>نهاية عمود (سطح)</t>
        </is>
      </c>
      <c r="I14" s="35" t="n">
        <v>16</v>
      </c>
      <c r="J14" s="12" t="n">
        <v>12</v>
      </c>
      <c r="K14" s="35">
        <f>D14*J14</f>
        <v/>
      </c>
      <c r="L14" s="37">
        <f>0.40</f>
        <v/>
      </c>
      <c r="M14" s="37">
        <f>0.00</f>
        <v/>
      </c>
      <c r="N14" s="37">
        <f>G14</f>
        <v/>
      </c>
      <c r="O14" s="37">
        <f>L14</f>
        <v/>
      </c>
      <c r="P14" s="38">
        <f>ROUND(M14+N14+O14, 2)</f>
        <v/>
      </c>
      <c r="Q14" s="15">
        <f>K14*P14</f>
        <v/>
      </c>
      <c r="R14" s="13">
        <f>ROUND((I14^2)/162, 3)</f>
        <v/>
      </c>
      <c r="S14" s="16">
        <f>(Q14*R14)/1000</f>
        <v/>
      </c>
      <c r="T14" s="36" t="inlineStr">
        <is>
          <t>رجل قفل زاوية داخل بلاطة السطح</t>
        </is>
      </c>
    </row>
    <row r="15" ht="22" customHeight="1">
      <c r="A15" s="20" t="n">
        <v>10</v>
      </c>
      <c r="B15" s="39" t="inlineStr">
        <is>
          <t>ع3</t>
        </is>
      </c>
      <c r="C15" s="40" t="inlineStr">
        <is>
          <t>أشاير أساسات</t>
        </is>
      </c>
      <c r="D15" s="20" t="n">
        <v>4</v>
      </c>
      <c r="E15" s="20" t="n">
        <v>0.4</v>
      </c>
      <c r="F15" s="20" t="n">
        <v>1</v>
      </c>
      <c r="G15" s="20" t="n">
        <v>4.5</v>
      </c>
      <c r="H15" s="40" t="inlineStr">
        <is>
          <t>أشاير قواعد لبشة</t>
        </is>
      </c>
      <c r="I15" s="39" t="n">
        <v>20</v>
      </c>
      <c r="J15" s="20" t="n">
        <v>18</v>
      </c>
      <c r="K15" s="39">
        <f>D15*J15</f>
        <v/>
      </c>
      <c r="L15" s="41">
        <f>60*(I15/1000)</f>
        <v/>
      </c>
      <c r="M15" s="41">
        <f>0.70</f>
        <v/>
      </c>
      <c r="N15" s="41">
        <f>G15</f>
        <v/>
      </c>
      <c r="O15" s="41">
        <f>L15</f>
        <v/>
      </c>
      <c r="P15" s="42">
        <f>ROUND(M15+N15+O15, 2)</f>
        <v/>
      </c>
      <c r="Q15" s="23">
        <f>K15*P15</f>
        <v/>
      </c>
      <c r="R15" s="21">
        <f>ROUND((I15^2)/162, 3)</f>
        <v/>
      </c>
      <c r="S15" s="24">
        <f>(Q15*R15)/1000</f>
        <v/>
      </c>
      <c r="T15" s="40" t="inlineStr">
        <is>
          <t>أشاير في لبشة مسلحة سمك 1.20 م برجل 70 سم</t>
        </is>
      </c>
    </row>
    <row r="16" ht="22" customHeight="1">
      <c r="A16" s="12" t="n">
        <v>11</v>
      </c>
      <c r="B16" s="35" t="inlineStr">
        <is>
          <t>ع3</t>
        </is>
      </c>
      <c r="C16" s="36" t="inlineStr">
        <is>
          <t>الدور الأرضي</t>
        </is>
      </c>
      <c r="D16" s="12" t="n">
        <v>4</v>
      </c>
      <c r="E16" s="12" t="n">
        <v>0.4</v>
      </c>
      <c r="F16" s="12" t="n">
        <v>1</v>
      </c>
      <c r="G16" s="12" t="n">
        <v>4.2</v>
      </c>
      <c r="H16" s="36" t="inlineStr">
        <is>
          <t>حديد طولي رئيسي</t>
        </is>
      </c>
      <c r="I16" s="35" t="n">
        <v>20</v>
      </c>
      <c r="J16" s="12" t="n">
        <v>18</v>
      </c>
      <c r="K16" s="35">
        <f>D16*J16</f>
        <v/>
      </c>
      <c r="L16" s="37">
        <f>60*(I16/1000)</f>
        <v/>
      </c>
      <c r="M16" s="37">
        <f>0.00</f>
        <v/>
      </c>
      <c r="N16" s="37">
        <f>G16</f>
        <v/>
      </c>
      <c r="O16" s="37">
        <f>L16</f>
        <v/>
      </c>
      <c r="P16" s="38">
        <f>ROUND(M16+N16+O16, 2)</f>
        <v/>
      </c>
      <c r="Q16" s="15">
        <f>K16*P16</f>
        <v/>
      </c>
      <c r="R16" s="13">
        <f>ROUND((I16^2)/162, 3)</f>
        <v/>
      </c>
      <c r="S16" s="16">
        <f>(Q16*R16)/1000</f>
        <v/>
      </c>
      <c r="T16" s="36" t="inlineStr">
        <is>
          <t>تسليح كثيف لمقاومة أحمال الرياح والزلازل</t>
        </is>
      </c>
    </row>
    <row r="17" ht="22" customHeight="1">
      <c r="A17" s="20" t="n">
        <v>12</v>
      </c>
      <c r="B17" s="39" t="inlineStr">
        <is>
          <t>ع3</t>
        </is>
      </c>
      <c r="C17" s="40" t="inlineStr">
        <is>
          <t>متكرر (أول - رابع)</t>
        </is>
      </c>
      <c r="D17" s="20" t="n">
        <v>16</v>
      </c>
      <c r="E17" s="20" t="n">
        <v>0.4</v>
      </c>
      <c r="F17" s="20" t="n">
        <v>1</v>
      </c>
      <c r="G17" s="20" t="n">
        <v>3.2</v>
      </c>
      <c r="H17" s="40" t="inlineStr">
        <is>
          <t>حديد طولي متكرر</t>
        </is>
      </c>
      <c r="I17" s="39" t="n">
        <v>20</v>
      </c>
      <c r="J17" s="20" t="n">
        <v>18</v>
      </c>
      <c r="K17" s="39">
        <f>D17*J17</f>
        <v/>
      </c>
      <c r="L17" s="41">
        <f>60*(I17/1000)</f>
        <v/>
      </c>
      <c r="M17" s="41">
        <f>0.00</f>
        <v/>
      </c>
      <c r="N17" s="41">
        <f>G17</f>
        <v/>
      </c>
      <c r="O17" s="41">
        <f>L17</f>
        <v/>
      </c>
      <c r="P17" s="42">
        <f>ROUND(M17+N17+O17, 2)</f>
        <v/>
      </c>
      <c r="Q17" s="23">
        <f>K17*P17</f>
        <v/>
      </c>
      <c r="R17" s="21">
        <f>ROUND((I17^2)/162, 3)</f>
        <v/>
      </c>
      <c r="S17" s="24">
        <f>(Q17*R17)/1000</f>
        <v/>
      </c>
      <c r="T17" s="40" t="inlineStr">
        <is>
          <t>وصلات متراكبة متوافقة مع الكود</t>
        </is>
      </c>
    </row>
    <row r="18" ht="22" customHeight="1">
      <c r="A18" s="12" t="n">
        <v>13</v>
      </c>
      <c r="B18" s="35" t="inlineStr">
        <is>
          <t>ع3</t>
        </is>
      </c>
      <c r="C18" s="36" t="inlineStr">
        <is>
          <t>متكرر (خامس - ثامن)</t>
        </is>
      </c>
      <c r="D18" s="12" t="n">
        <v>16</v>
      </c>
      <c r="E18" s="12" t="n">
        <v>0.4</v>
      </c>
      <c r="F18" s="12" t="n">
        <v>0.9</v>
      </c>
      <c r="G18" s="12" t="n">
        <v>3.2</v>
      </c>
      <c r="H18" s="36" t="inlineStr">
        <is>
          <t>قص عمود وتخفيض</t>
        </is>
      </c>
      <c r="I18" s="35" t="n">
        <v>18</v>
      </c>
      <c r="J18" s="12" t="n">
        <v>16</v>
      </c>
      <c r="K18" s="35">
        <f>D18*J18</f>
        <v/>
      </c>
      <c r="L18" s="37">
        <f>60*(I18/1000)</f>
        <v/>
      </c>
      <c r="M18" s="37">
        <f>0.00</f>
        <v/>
      </c>
      <c r="N18" s="37">
        <f>G18</f>
        <v/>
      </c>
      <c r="O18" s="37">
        <f>L18</f>
        <v/>
      </c>
      <c r="P18" s="38">
        <f>ROUND(M18+N18+O18, 2)</f>
        <v/>
      </c>
      <c r="Q18" s="15">
        <f>K18*P18</f>
        <v/>
      </c>
      <c r="R18" s="13">
        <f>ROUND((I18^2)/162, 3)</f>
        <v/>
      </c>
      <c r="S18" s="16">
        <f>(Q18*R18)/1000</f>
        <v/>
      </c>
      <c r="T18" s="36" t="inlineStr">
        <is>
          <t>تخفيض سيخين وتجنيب الباقي</t>
        </is>
      </c>
    </row>
    <row r="19" ht="22" customHeight="1">
      <c r="A19" s="20" t="n">
        <v>14</v>
      </c>
      <c r="B19" s="39" t="inlineStr">
        <is>
          <t>ع.د 1</t>
        </is>
      </c>
      <c r="C19" s="40" t="inlineStr">
        <is>
          <t>الدور الأرضي</t>
        </is>
      </c>
      <c r="D19" s="20" t="n">
        <v>4</v>
      </c>
      <c r="E19" s="20" t="n">
        <v>0.6</v>
      </c>
      <c r="F19" s="20" t="n">
        <v>0.6</v>
      </c>
      <c r="G19" s="20" t="n">
        <v>3.8</v>
      </c>
      <c r="H19" s="40" t="inlineStr">
        <is>
          <t>عمود دائري (Circular)</t>
        </is>
      </c>
      <c r="I19" s="39" t="n">
        <v>18</v>
      </c>
      <c r="J19" s="20" t="n">
        <v>12</v>
      </c>
      <c r="K19" s="39">
        <f>D19*J19</f>
        <v/>
      </c>
      <c r="L19" s="41">
        <f>60*(I19/1000)</f>
        <v/>
      </c>
      <c r="M19" s="41">
        <f>0.00</f>
        <v/>
      </c>
      <c r="N19" s="41">
        <f>G19</f>
        <v/>
      </c>
      <c r="O19" s="41">
        <f>L19</f>
        <v/>
      </c>
      <c r="P19" s="42">
        <f>ROUND(M19+N19+O19, 2)</f>
        <v/>
      </c>
      <c r="Q19" s="23">
        <f>K19*P19</f>
        <v/>
      </c>
      <c r="R19" s="21">
        <f>ROUND((I19^2)/162, 3)</f>
        <v/>
      </c>
      <c r="S19" s="24">
        <f>(Q19*R19)/1000</f>
        <v/>
      </c>
      <c r="T19" s="40" t="inlineStr">
        <is>
          <t>كانة حلزونية مستمرة (Spiral) محيطية</t>
        </is>
      </c>
    </row>
    <row r="20" ht="22" customHeight="1">
      <c r="A20" s="12" t="n">
        <v>15</v>
      </c>
      <c r="B20" s="35" t="inlineStr">
        <is>
          <t>ع.د 1</t>
        </is>
      </c>
      <c r="C20" s="36" t="inlineStr">
        <is>
          <t>متكرر (أول - رابع)</t>
        </is>
      </c>
      <c r="D20" s="12" t="n">
        <v>16</v>
      </c>
      <c r="E20" s="12" t="n">
        <v>0.6</v>
      </c>
      <c r="F20" s="12" t="n">
        <v>0.6</v>
      </c>
      <c r="G20" s="12" t="n">
        <v>3.2</v>
      </c>
      <c r="H20" s="36" t="inlineStr">
        <is>
          <t>عمود دائري متكرر</t>
        </is>
      </c>
      <c r="I20" s="35" t="n">
        <v>18</v>
      </c>
      <c r="J20" s="12" t="n">
        <v>12</v>
      </c>
      <c r="K20" s="35">
        <f>D20*J20</f>
        <v/>
      </c>
      <c r="L20" s="37">
        <f>60*(I20/1000)</f>
        <v/>
      </c>
      <c r="M20" s="37">
        <f>0.00</f>
        <v/>
      </c>
      <c r="N20" s="37">
        <f>G20</f>
        <v/>
      </c>
      <c r="O20" s="37">
        <f>L20</f>
        <v/>
      </c>
      <c r="P20" s="38">
        <f>ROUND(M20+N20+O20, 2)</f>
        <v/>
      </c>
      <c r="Q20" s="15">
        <f>K20*P20</f>
        <v/>
      </c>
      <c r="R20" s="13">
        <f>ROUND((I20^2)/162, 3)</f>
        <v/>
      </c>
      <c r="S20" s="16">
        <f>(Q20*R20)/1000</f>
        <v/>
      </c>
      <c r="T20" s="36" t="inlineStr">
        <is>
          <t>توزيع دائري منتظم بزاوية 30 درجة</t>
        </is>
      </c>
    </row>
    <row r="21" ht="26" customHeight="1">
      <c r="A21" s="28" t="inlineStr">
        <is>
          <t>الإجمالي الكلي لحديد الأعمدة الطولي</t>
        </is>
      </c>
      <c r="B21" s="28" t="n"/>
      <c r="C21" s="28" t="n"/>
      <c r="D21" s="28" t="n"/>
      <c r="E21" s="28" t="n"/>
      <c r="F21" s="28" t="n"/>
      <c r="G21" s="28" t="n"/>
      <c r="H21" s="28" t="n"/>
      <c r="I21" s="28" t="n"/>
      <c r="J21" s="28" t="n"/>
      <c r="K21" s="31">
        <f>SUM(K6:K20)</f>
        <v/>
      </c>
      <c r="L21" s="28" t="n"/>
      <c r="M21" s="28" t="n"/>
      <c r="N21" s="28" t="n"/>
      <c r="O21" s="28" t="n"/>
      <c r="P21" s="28" t="n"/>
      <c r="Q21" s="29">
        <f>SUM(Q6:Q20)</f>
        <v/>
      </c>
      <c r="R21" s="28" t="n"/>
      <c r="S21" s="30">
        <f>SUM(S6:S20)</f>
        <v/>
      </c>
      <c r="T21" s="28" t="n"/>
    </row>
  </sheetData>
  <mergeCells count="19">
    <mergeCell ref="R4:R5"/>
    <mergeCell ref="C4:C5"/>
    <mergeCell ref="T4:T5"/>
    <mergeCell ref="A1:T1"/>
    <mergeCell ref="Q4:Q5"/>
    <mergeCell ref="D4:D5"/>
    <mergeCell ref="J4:J5"/>
    <mergeCell ref="L4:L5"/>
    <mergeCell ref="A4:A5"/>
    <mergeCell ref="M4:O4"/>
    <mergeCell ref="I4:I5"/>
    <mergeCell ref="K4:K5"/>
    <mergeCell ref="S4:S5"/>
    <mergeCell ref="A2:T2"/>
    <mergeCell ref="B4:B5"/>
    <mergeCell ref="H4:H5"/>
    <mergeCell ref="A21:J21"/>
    <mergeCell ref="P4:P5"/>
    <mergeCell ref="E4:G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4"/>
  <sheetViews>
    <sheetView showGridLines="1" rightToLeft="1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10" customWidth="1" min="4" max="4"/>
    <col width="9" customWidth="1" min="5" max="5"/>
    <col width="9" customWidth="1" min="6" max="6"/>
    <col width="9" customWidth="1" min="7" max="7"/>
    <col width="16" customWidth="1" min="8" max="8"/>
    <col width="9" customWidth="1" min="9" max="9"/>
    <col width="13" customWidth="1" min="10" max="10"/>
    <col width="13" customWidth="1" min="11" max="11"/>
    <col width="12" customWidth="1" min="12" max="12"/>
    <col width="12" customWidth="1" min="13" max="13"/>
    <col width="12" customWidth="1" min="14" max="14"/>
    <col width="11" customWidth="1" min="15" max="15"/>
    <col width="11" customWidth="1" min="16" max="16"/>
    <col width="11" customWidth="1" min="17" max="17"/>
    <col width="10" customWidth="1" min="18" max="18"/>
    <col width="14" customWidth="1" min="19" max="19"/>
    <col width="15" customWidth="1" min="20" max="20"/>
    <col width="14" customWidth="1" min="21" max="21"/>
  </cols>
  <sheetData>
    <row r="1" ht="36" customHeight="1">
      <c r="A1" s="1" t="inlineStr">
        <is>
          <t>حاسبة أطوال وأوزان كانات الأعمدة وتكثيف المناطق الزلزالية (Column Ties &amp; Confinement Calculator)</t>
        </is>
      </c>
    </row>
    <row r="2" ht="22" customHeight="1">
      <c r="A2" s="33" t="inlineStr">
        <is>
          <t>حساب الكانة الخارجية + الكانة الأوتوماتيك + المعين + الحباية + طول قفل الكانة الزلزالية (10Φ بقفل 135°) ومناطق التكثيف Lo</t>
        </is>
      </c>
    </row>
    <row r="4" ht="24" customHeight="1">
      <c r="A4" s="11" t="inlineStr">
        <is>
          <t>م</t>
        </is>
      </c>
      <c r="B4" s="11" t="inlineStr">
        <is>
          <t>نموذج العمود</t>
        </is>
      </c>
      <c r="C4" s="11" t="inlineStr">
        <is>
          <t>الدور / المنسوب</t>
        </is>
      </c>
      <c r="D4" s="11" t="inlineStr">
        <is>
          <t>العدد المتكرر</t>
        </is>
      </c>
      <c r="E4" s="11" t="inlineStr">
        <is>
          <t>قطاع العمود (م)</t>
        </is>
      </c>
      <c r="F4" s="6" t="n"/>
      <c r="G4" s="11" t="inlineStr">
        <is>
          <t>الغطاء (سم)</t>
        </is>
      </c>
      <c r="H4" s="11" t="inlineStr">
        <is>
          <t>نوع الكانة</t>
        </is>
      </c>
      <c r="I4" s="11" t="inlineStr">
        <is>
          <t>القطر Φ (ملم)</t>
        </is>
      </c>
      <c r="J4" s="11" t="inlineStr">
        <is>
          <t>توزيع وتكثيف الكانات بالعمود</t>
        </is>
      </c>
      <c r="K4" s="6" t="n"/>
      <c r="L4" s="6" t="n"/>
      <c r="M4" s="11" t="inlineStr">
        <is>
          <t>الكانات بالعمود</t>
        </is>
      </c>
      <c r="N4" s="11" t="inlineStr">
        <is>
          <t>إجمالي الكانات</t>
        </is>
      </c>
      <c r="O4" s="11" t="inlineStr">
        <is>
          <t>أبعاد وتفصيلة أضلاع الكانة (م)</t>
        </is>
      </c>
      <c r="P4" s="6" t="n"/>
      <c r="Q4" s="6" t="n"/>
      <c r="R4" s="6" t="n"/>
      <c r="S4" s="11" t="inlineStr">
        <is>
          <t>طول الكانة القطعية (م)</t>
        </is>
      </c>
      <c r="T4" s="11" t="inlineStr">
        <is>
          <t>إجمالي الأطوال (م)</t>
        </is>
      </c>
      <c r="U4" s="11" t="inlineStr">
        <is>
          <t>الوزن الكلي (طن)</t>
        </is>
      </c>
    </row>
    <row r="5" ht="24" customHeight="1">
      <c r="A5" s="6" t="n"/>
      <c r="B5" s="6" t="n"/>
      <c r="C5" s="6" t="n"/>
      <c r="D5" s="6" t="n"/>
      <c r="E5" s="34" t="inlineStr">
        <is>
          <t>عرض b</t>
        </is>
      </c>
      <c r="F5" s="34" t="inlineStr">
        <is>
          <t>عمق t</t>
        </is>
      </c>
      <c r="G5" s="6" t="n"/>
      <c r="H5" s="6" t="n"/>
      <c r="I5" s="6" t="n"/>
      <c r="J5" s="34" t="inlineStr">
        <is>
          <t>كانات التكثيف (أعلى+أسفل)</t>
        </is>
      </c>
      <c r="K5" s="34" t="inlineStr">
        <is>
          <t>كانات المنتصف العادية</t>
        </is>
      </c>
      <c r="L5" s="34" t="inlineStr">
        <is>
          <t>كانات الاتصال بالكمرة</t>
        </is>
      </c>
      <c r="M5" s="6" t="n"/>
      <c r="N5" s="6" t="n"/>
      <c r="O5" s="34" t="inlineStr">
        <is>
          <t>ضلع أ (b-2cov)</t>
        </is>
      </c>
      <c r="P5" s="34" t="inlineStr">
        <is>
          <t>ضلع ب (t-2cov)</t>
        </is>
      </c>
      <c r="Q5" s="34" t="inlineStr">
        <is>
          <t>قفل كانة (2*10d)</t>
        </is>
      </c>
      <c r="R5" s="34" t="inlineStr">
        <is>
          <t>خصم ثنيات</t>
        </is>
      </c>
      <c r="S5" s="6" t="n"/>
      <c r="T5" s="6" t="n"/>
      <c r="U5" s="6" t="n"/>
    </row>
    <row r="6" ht="22" customHeight="1">
      <c r="A6" s="12" t="n">
        <v>1</v>
      </c>
      <c r="B6" s="35" t="inlineStr">
        <is>
          <t>ع1</t>
        </is>
      </c>
      <c r="C6" s="36" t="inlineStr">
        <is>
          <t>الدور الأرضي</t>
        </is>
      </c>
      <c r="D6" s="12" t="n">
        <v>6</v>
      </c>
      <c r="E6" s="12" t="n">
        <v>0.3</v>
      </c>
      <c r="F6" s="12" t="n">
        <v>0.6</v>
      </c>
      <c r="G6" s="12" t="n">
        <v>2.5</v>
      </c>
      <c r="H6" s="36" t="inlineStr">
        <is>
          <t>كانة خارجية صندوقية</t>
        </is>
      </c>
      <c r="I6" s="35" t="n">
        <v>8</v>
      </c>
      <c r="J6" s="12" t="n">
        <v>12</v>
      </c>
      <c r="K6" s="12" t="n">
        <v>10</v>
      </c>
      <c r="L6" s="12" t="n">
        <v>4</v>
      </c>
      <c r="M6" s="35">
        <f>J6+K6+L6</f>
        <v/>
      </c>
      <c r="N6" s="35">
        <f>D6*M6</f>
        <v/>
      </c>
      <c r="O6" s="37">
        <f>E6-(2*G6/100)</f>
        <v/>
      </c>
      <c r="P6" s="37">
        <f>F6-(2*G6/100)</f>
        <v/>
      </c>
      <c r="Q6" s="37">
        <f>2*10*(I6/1000)</f>
        <v/>
      </c>
      <c r="R6" s="37">
        <f>3*2*(I6/1000)</f>
        <v/>
      </c>
      <c r="S6" s="38">
        <f>ROUND(2*O6+2*P6+Q6-R6, 2)</f>
        <v/>
      </c>
      <c r="T6" s="15">
        <f>N6*S6</f>
        <v/>
      </c>
      <c r="U6" s="16">
        <f>(T6*ROUND((I6^2)/162, 3))/1000</f>
        <v/>
      </c>
    </row>
    <row r="7" ht="22" customHeight="1">
      <c r="A7" s="20" t="n">
        <v>2</v>
      </c>
      <c r="B7" s="39" t="inlineStr">
        <is>
          <t>ع1</t>
        </is>
      </c>
      <c r="C7" s="40" t="inlineStr">
        <is>
          <t>الدور الأرضي</t>
        </is>
      </c>
      <c r="D7" s="20" t="n">
        <v>6</v>
      </c>
      <c r="E7" s="20" t="n">
        <v>0.3</v>
      </c>
      <c r="F7" s="20" t="n">
        <v>0.6</v>
      </c>
      <c r="G7" s="20" t="n">
        <v>2.5</v>
      </c>
      <c r="H7" s="40" t="inlineStr">
        <is>
          <t>كانة داخلية (حباية)</t>
        </is>
      </c>
      <c r="I7" s="39" t="n">
        <v>8</v>
      </c>
      <c r="J7" s="20" t="n">
        <v>12</v>
      </c>
      <c r="K7" s="20" t="n">
        <v>10</v>
      </c>
      <c r="L7" s="20" t="n">
        <v>4</v>
      </c>
      <c r="M7" s="39">
        <f>J7+K7+L7</f>
        <v/>
      </c>
      <c r="N7" s="39">
        <f>D7*M7</f>
        <v/>
      </c>
      <c r="O7" s="41">
        <f>E7-(2*G7/100)</f>
        <v/>
      </c>
      <c r="P7" s="41">
        <f>F7-(2*G7/100)</f>
        <v/>
      </c>
      <c r="Q7" s="41">
        <f>2*10*(I7/1000)</f>
        <v/>
      </c>
      <c r="R7" s="41">
        <f>3*2*(I7/1000)</f>
        <v/>
      </c>
      <c r="S7" s="42">
        <f>ROUND(O7+Q7, 2)</f>
        <v/>
      </c>
      <c r="T7" s="23">
        <f>N7*S7</f>
        <v/>
      </c>
      <c r="U7" s="24">
        <f>(T7*ROUND((I7^2)/162, 3))/1000</f>
        <v/>
      </c>
    </row>
    <row r="8" ht="22" customHeight="1">
      <c r="A8" s="12" t="n">
        <v>3</v>
      </c>
      <c r="B8" s="35" t="inlineStr">
        <is>
          <t>ع1</t>
        </is>
      </c>
      <c r="C8" s="36" t="inlineStr">
        <is>
          <t>متكرر (أول - رابع)</t>
        </is>
      </c>
      <c r="D8" s="12" t="n">
        <v>24</v>
      </c>
      <c r="E8" s="12" t="n">
        <v>0.3</v>
      </c>
      <c r="F8" s="12" t="n">
        <v>0.6</v>
      </c>
      <c r="G8" s="12" t="n">
        <v>2.5</v>
      </c>
      <c r="H8" s="36" t="inlineStr">
        <is>
          <t>كانة خارجية صندوقية</t>
        </is>
      </c>
      <c r="I8" s="35" t="n">
        <v>8</v>
      </c>
      <c r="J8" s="12" t="n">
        <v>10</v>
      </c>
      <c r="K8" s="12" t="n">
        <v>9</v>
      </c>
      <c r="L8" s="12" t="n">
        <v>3</v>
      </c>
      <c r="M8" s="35">
        <f>J8+K8+L8</f>
        <v/>
      </c>
      <c r="N8" s="35">
        <f>D8*M8</f>
        <v/>
      </c>
      <c r="O8" s="37">
        <f>E8-(2*G8/100)</f>
        <v/>
      </c>
      <c r="P8" s="37">
        <f>F8-(2*G8/100)</f>
        <v/>
      </c>
      <c r="Q8" s="37">
        <f>2*10*(I8/1000)</f>
        <v/>
      </c>
      <c r="R8" s="37">
        <f>3*2*(I8/1000)</f>
        <v/>
      </c>
      <c r="S8" s="38">
        <f>ROUND(2*O8+2*P8+Q8-R8, 2)</f>
        <v/>
      </c>
      <c r="T8" s="15">
        <f>N8*S8</f>
        <v/>
      </c>
      <c r="U8" s="16">
        <f>(T8*ROUND((I8^2)/162, 3))/1000</f>
        <v/>
      </c>
    </row>
    <row r="9" ht="22" customHeight="1">
      <c r="A9" s="20" t="n">
        <v>4</v>
      </c>
      <c r="B9" s="39" t="inlineStr">
        <is>
          <t>ع1</t>
        </is>
      </c>
      <c r="C9" s="40" t="inlineStr">
        <is>
          <t>متكرر (أول - رابع)</t>
        </is>
      </c>
      <c r="D9" s="20" t="n">
        <v>24</v>
      </c>
      <c r="E9" s="20" t="n">
        <v>0.3</v>
      </c>
      <c r="F9" s="20" t="n">
        <v>0.6</v>
      </c>
      <c r="G9" s="20" t="n">
        <v>2.5</v>
      </c>
      <c r="H9" s="40" t="inlineStr">
        <is>
          <t>كانة داخلية (حباية)</t>
        </is>
      </c>
      <c r="I9" s="39" t="n">
        <v>8</v>
      </c>
      <c r="J9" s="20" t="n">
        <v>10</v>
      </c>
      <c r="K9" s="20" t="n">
        <v>9</v>
      </c>
      <c r="L9" s="20" t="n">
        <v>3</v>
      </c>
      <c r="M9" s="39">
        <f>J9+K9+L9</f>
        <v/>
      </c>
      <c r="N9" s="39">
        <f>D9*M9</f>
        <v/>
      </c>
      <c r="O9" s="41">
        <f>E9-(2*G9/100)</f>
        <v/>
      </c>
      <c r="P9" s="41">
        <f>F9-(2*G9/100)</f>
        <v/>
      </c>
      <c r="Q9" s="41">
        <f>2*10*(I9/1000)</f>
        <v/>
      </c>
      <c r="R9" s="41">
        <f>3*2*(I9/1000)</f>
        <v/>
      </c>
      <c r="S9" s="42">
        <f>ROUND(O9+Q9, 2)</f>
        <v/>
      </c>
      <c r="T9" s="23">
        <f>N9*S9</f>
        <v/>
      </c>
      <c r="U9" s="24">
        <f>(T9*ROUND((I9^2)/162, 3))/1000</f>
        <v/>
      </c>
    </row>
    <row r="10" ht="22" customHeight="1">
      <c r="A10" s="12" t="n">
        <v>5</v>
      </c>
      <c r="B10" s="35" t="inlineStr">
        <is>
          <t>ع2</t>
        </is>
      </c>
      <c r="C10" s="36" t="inlineStr">
        <is>
          <t>الدور الأرضي</t>
        </is>
      </c>
      <c r="D10" s="12" t="n">
        <v>8</v>
      </c>
      <c r="E10" s="12" t="n">
        <v>0.3</v>
      </c>
      <c r="F10" s="12" t="n">
        <v>0.8</v>
      </c>
      <c r="G10" s="12" t="n">
        <v>2.5</v>
      </c>
      <c r="H10" s="36" t="inlineStr">
        <is>
          <t>كانة خارجية صندوقية</t>
        </is>
      </c>
      <c r="I10" s="35" t="n">
        <v>10</v>
      </c>
      <c r="J10" s="12" t="n">
        <v>14</v>
      </c>
      <c r="K10" s="12" t="n">
        <v>11</v>
      </c>
      <c r="L10" s="12" t="n">
        <v>4</v>
      </c>
      <c r="M10" s="35">
        <f>J10+K10+L10</f>
        <v/>
      </c>
      <c r="N10" s="35">
        <f>D10*M10</f>
        <v/>
      </c>
      <c r="O10" s="37">
        <f>E10-(2*G10/100)</f>
        <v/>
      </c>
      <c r="P10" s="37">
        <f>F10-(2*G10/100)</f>
        <v/>
      </c>
      <c r="Q10" s="37">
        <f>2*10*(I10/1000)</f>
        <v/>
      </c>
      <c r="R10" s="37">
        <f>3*2*(I10/1000)</f>
        <v/>
      </c>
      <c r="S10" s="38">
        <f>ROUND(2*O10+2*P10+Q10-R10, 2)</f>
        <v/>
      </c>
      <c r="T10" s="15">
        <f>N10*S10</f>
        <v/>
      </c>
      <c r="U10" s="16">
        <f>(T10*ROUND((I10^2)/162, 3))/1000</f>
        <v/>
      </c>
    </row>
    <row r="11" ht="22" customHeight="1">
      <c r="A11" s="20" t="n">
        <v>6</v>
      </c>
      <c r="B11" s="39" t="inlineStr">
        <is>
          <t>ع2</t>
        </is>
      </c>
      <c r="C11" s="40" t="inlineStr">
        <is>
          <t>الدور الأرضي</t>
        </is>
      </c>
      <c r="D11" s="20" t="n">
        <v>8</v>
      </c>
      <c r="E11" s="20" t="n">
        <v>0.3</v>
      </c>
      <c r="F11" s="20" t="n">
        <v>0.8</v>
      </c>
      <c r="G11" s="20" t="n">
        <v>2.5</v>
      </c>
      <c r="H11" s="40" t="inlineStr">
        <is>
          <t>كانة داخلية مزدوجة</t>
        </is>
      </c>
      <c r="I11" s="39" t="n">
        <v>10</v>
      </c>
      <c r="J11" s="20" t="n">
        <v>14</v>
      </c>
      <c r="K11" s="20" t="n">
        <v>11</v>
      </c>
      <c r="L11" s="20" t="n">
        <v>4</v>
      </c>
      <c r="M11" s="39">
        <f>J11+K11+L11</f>
        <v/>
      </c>
      <c r="N11" s="39">
        <f>D11*M11</f>
        <v/>
      </c>
      <c r="O11" s="41">
        <f>E11-(2*G11/100)</f>
        <v/>
      </c>
      <c r="P11" s="41">
        <f>F11-(2*G11/100)</f>
        <v/>
      </c>
      <c r="Q11" s="41">
        <f>2*10*(I11/1000)</f>
        <v/>
      </c>
      <c r="R11" s="41">
        <f>3*2*(I11/1000)</f>
        <v/>
      </c>
      <c r="S11" s="42">
        <f>ROUND(2*O11+2*(P11/2)+Q11-R11, 2)</f>
        <v/>
      </c>
      <c r="T11" s="23">
        <f>N11*S11</f>
        <v/>
      </c>
      <c r="U11" s="24">
        <f>(T11*ROUND((I11^2)/162, 3))/1000</f>
        <v/>
      </c>
    </row>
    <row r="12" ht="22" customHeight="1">
      <c r="A12" s="12" t="n">
        <v>7</v>
      </c>
      <c r="B12" s="35" t="inlineStr">
        <is>
          <t>ع2</t>
        </is>
      </c>
      <c r="C12" s="36" t="inlineStr">
        <is>
          <t>الدور الأرضي</t>
        </is>
      </c>
      <c r="D12" s="12" t="n">
        <v>8</v>
      </c>
      <c r="E12" s="12" t="n">
        <v>0.3</v>
      </c>
      <c r="F12" s="12" t="n">
        <v>0.8</v>
      </c>
      <c r="G12" s="12" t="n">
        <v>2.5</v>
      </c>
      <c r="H12" s="36" t="inlineStr">
        <is>
          <t>كانة معين (Diamond)</t>
        </is>
      </c>
      <c r="I12" s="35" t="n">
        <v>8</v>
      </c>
      <c r="J12" s="12" t="n">
        <v>14</v>
      </c>
      <c r="K12" s="12" t="n">
        <v>11</v>
      </c>
      <c r="L12" s="12" t="n">
        <v>4</v>
      </c>
      <c r="M12" s="35">
        <f>J12+K12+L12</f>
        <v/>
      </c>
      <c r="N12" s="35">
        <f>D12*M12</f>
        <v/>
      </c>
      <c r="O12" s="37">
        <f>E12-(2*G12/100)</f>
        <v/>
      </c>
      <c r="P12" s="37">
        <f>F12-(2*G12/100)</f>
        <v/>
      </c>
      <c r="Q12" s="37">
        <f>2*10*(I12/1000)</f>
        <v/>
      </c>
      <c r="R12" s="37">
        <f>3*2*(I12/1000)</f>
        <v/>
      </c>
      <c r="S12" s="38">
        <f>ROUND(4*SQRT((O12/2)^2 + (P12/2)^2)+Q12-R12, 2)</f>
        <v/>
      </c>
      <c r="T12" s="15">
        <f>N12*S12</f>
        <v/>
      </c>
      <c r="U12" s="16">
        <f>(T12*ROUND((I12^2)/162, 3))/1000</f>
        <v/>
      </c>
    </row>
    <row r="13" ht="22" customHeight="1">
      <c r="A13" s="20" t="n">
        <v>8</v>
      </c>
      <c r="B13" s="39" t="inlineStr">
        <is>
          <t>ع2</t>
        </is>
      </c>
      <c r="C13" s="40" t="inlineStr">
        <is>
          <t>متكرر (أول - رابع)</t>
        </is>
      </c>
      <c r="D13" s="20" t="n">
        <v>32</v>
      </c>
      <c r="E13" s="20" t="n">
        <v>0.3</v>
      </c>
      <c r="F13" s="20" t="n">
        <v>0.8</v>
      </c>
      <c r="G13" s="20" t="n">
        <v>2.5</v>
      </c>
      <c r="H13" s="40" t="inlineStr">
        <is>
          <t>كانة خارجية صندوقية</t>
        </is>
      </c>
      <c r="I13" s="39" t="n">
        <v>8</v>
      </c>
      <c r="J13" s="20" t="n">
        <v>12</v>
      </c>
      <c r="K13" s="20" t="n">
        <v>10</v>
      </c>
      <c r="L13" s="20" t="n">
        <v>3</v>
      </c>
      <c r="M13" s="39">
        <f>J13+K13+L13</f>
        <v/>
      </c>
      <c r="N13" s="39">
        <f>D13*M13</f>
        <v/>
      </c>
      <c r="O13" s="41">
        <f>E13-(2*G13/100)</f>
        <v/>
      </c>
      <c r="P13" s="41">
        <f>F13-(2*G13/100)</f>
        <v/>
      </c>
      <c r="Q13" s="41">
        <f>2*10*(I13/1000)</f>
        <v/>
      </c>
      <c r="R13" s="41">
        <f>3*2*(I13/1000)</f>
        <v/>
      </c>
      <c r="S13" s="42">
        <f>ROUND(2*O13+2*P13+Q13-R13, 2)</f>
        <v/>
      </c>
      <c r="T13" s="23">
        <f>N13*S13</f>
        <v/>
      </c>
      <c r="U13" s="24">
        <f>(T13*ROUND((I13^2)/162, 3))/1000</f>
        <v/>
      </c>
    </row>
    <row r="14" ht="22" customHeight="1">
      <c r="A14" s="12" t="n">
        <v>9</v>
      </c>
      <c r="B14" s="35" t="inlineStr">
        <is>
          <t>ع2</t>
        </is>
      </c>
      <c r="C14" s="36" t="inlineStr">
        <is>
          <t>متكرر (أول - رابع)</t>
        </is>
      </c>
      <c r="D14" s="12" t="n">
        <v>32</v>
      </c>
      <c r="E14" s="12" t="n">
        <v>0.3</v>
      </c>
      <c r="F14" s="12" t="n">
        <v>0.8</v>
      </c>
      <c r="G14" s="12" t="n">
        <v>2.5</v>
      </c>
      <c r="H14" s="36" t="inlineStr">
        <is>
          <t>كانة داخلية مزدوجة</t>
        </is>
      </c>
      <c r="I14" s="35" t="n">
        <v>8</v>
      </c>
      <c r="J14" s="12" t="n">
        <v>12</v>
      </c>
      <c r="K14" s="12" t="n">
        <v>10</v>
      </c>
      <c r="L14" s="12" t="n">
        <v>3</v>
      </c>
      <c r="M14" s="35">
        <f>J14+K14+L14</f>
        <v/>
      </c>
      <c r="N14" s="35">
        <f>D14*M14</f>
        <v/>
      </c>
      <c r="O14" s="37">
        <f>E14-(2*G14/100)</f>
        <v/>
      </c>
      <c r="P14" s="37">
        <f>F14-(2*G14/100)</f>
        <v/>
      </c>
      <c r="Q14" s="37">
        <f>2*10*(I14/1000)</f>
        <v/>
      </c>
      <c r="R14" s="37">
        <f>3*2*(I14/1000)</f>
        <v/>
      </c>
      <c r="S14" s="38">
        <f>ROUND(2*O14+2*(P14/2)+Q14-R14, 2)</f>
        <v/>
      </c>
      <c r="T14" s="15">
        <f>N14*S14</f>
        <v/>
      </c>
      <c r="U14" s="16">
        <f>(T14*ROUND((I14^2)/162, 3))/1000</f>
        <v/>
      </c>
    </row>
    <row r="15" ht="22" customHeight="1">
      <c r="A15" s="20" t="n">
        <v>10</v>
      </c>
      <c r="B15" s="39" t="inlineStr">
        <is>
          <t>ع2</t>
        </is>
      </c>
      <c r="C15" s="40" t="inlineStr">
        <is>
          <t>متكرر (أول - رابع)</t>
        </is>
      </c>
      <c r="D15" s="20" t="n">
        <v>32</v>
      </c>
      <c r="E15" s="20" t="n">
        <v>0.3</v>
      </c>
      <c r="F15" s="20" t="n">
        <v>0.8</v>
      </c>
      <c r="G15" s="20" t="n">
        <v>2.5</v>
      </c>
      <c r="H15" s="40" t="inlineStr">
        <is>
          <t>كانة معين (Diamond)</t>
        </is>
      </c>
      <c r="I15" s="39" t="n">
        <v>8</v>
      </c>
      <c r="J15" s="20" t="n">
        <v>12</v>
      </c>
      <c r="K15" s="20" t="n">
        <v>10</v>
      </c>
      <c r="L15" s="20" t="n">
        <v>3</v>
      </c>
      <c r="M15" s="39">
        <f>J15+K15+L15</f>
        <v/>
      </c>
      <c r="N15" s="39">
        <f>D15*M15</f>
        <v/>
      </c>
      <c r="O15" s="41">
        <f>E15-(2*G15/100)</f>
        <v/>
      </c>
      <c r="P15" s="41">
        <f>F15-(2*G15/100)</f>
        <v/>
      </c>
      <c r="Q15" s="41">
        <f>2*10*(I15/1000)</f>
        <v/>
      </c>
      <c r="R15" s="41">
        <f>3*2*(I15/1000)</f>
        <v/>
      </c>
      <c r="S15" s="42">
        <f>ROUND(4*SQRT((O15/2)^2 + (P15/2)^2)+Q15-R15, 2)</f>
        <v/>
      </c>
      <c r="T15" s="23">
        <f>N15*S15</f>
        <v/>
      </c>
      <c r="U15" s="24">
        <f>(T15*ROUND((I15^2)/162, 3))/1000</f>
        <v/>
      </c>
    </row>
    <row r="16" ht="22" customHeight="1">
      <c r="A16" s="12" t="n">
        <v>11</v>
      </c>
      <c r="B16" s="35" t="inlineStr">
        <is>
          <t>ع2</t>
        </is>
      </c>
      <c r="C16" s="36" t="inlineStr">
        <is>
          <t>متكرر مقصوص (5-8)</t>
        </is>
      </c>
      <c r="D16" s="12" t="n">
        <v>32</v>
      </c>
      <c r="E16" s="12" t="n">
        <v>0.3</v>
      </c>
      <c r="F16" s="12" t="n">
        <v>0.7</v>
      </c>
      <c r="G16" s="12" t="n">
        <v>2.5</v>
      </c>
      <c r="H16" s="36" t="inlineStr">
        <is>
          <t>كانة خارجية صندوقية</t>
        </is>
      </c>
      <c r="I16" s="35" t="n">
        <v>8</v>
      </c>
      <c r="J16" s="12" t="n">
        <v>11</v>
      </c>
      <c r="K16" s="12" t="n">
        <v>9</v>
      </c>
      <c r="L16" s="12" t="n">
        <v>3</v>
      </c>
      <c r="M16" s="35">
        <f>J16+K16+L16</f>
        <v/>
      </c>
      <c r="N16" s="35">
        <f>D16*M16</f>
        <v/>
      </c>
      <c r="O16" s="37">
        <f>E16-(2*G16/100)</f>
        <v/>
      </c>
      <c r="P16" s="37">
        <f>F16-(2*G16/100)</f>
        <v/>
      </c>
      <c r="Q16" s="37">
        <f>2*10*(I16/1000)</f>
        <v/>
      </c>
      <c r="R16" s="37">
        <f>3*2*(I16/1000)</f>
        <v/>
      </c>
      <c r="S16" s="38">
        <f>ROUND(2*O16+2*P16+Q16-R16, 2)</f>
        <v/>
      </c>
      <c r="T16" s="15">
        <f>N16*S16</f>
        <v/>
      </c>
      <c r="U16" s="16">
        <f>(T16*ROUND((I16^2)/162, 3))/1000</f>
        <v/>
      </c>
    </row>
    <row r="17" ht="22" customHeight="1">
      <c r="A17" s="20" t="n">
        <v>12</v>
      </c>
      <c r="B17" s="39" t="inlineStr">
        <is>
          <t>ع2</t>
        </is>
      </c>
      <c r="C17" s="40" t="inlineStr">
        <is>
          <t>متكرر مقصوص (5-8)</t>
        </is>
      </c>
      <c r="D17" s="20" t="n">
        <v>32</v>
      </c>
      <c r="E17" s="20" t="n">
        <v>0.3</v>
      </c>
      <c r="F17" s="20" t="n">
        <v>0.7</v>
      </c>
      <c r="G17" s="20" t="n">
        <v>2.5</v>
      </c>
      <c r="H17" s="40" t="inlineStr">
        <is>
          <t>كانة داخلية مزدوجة</t>
        </is>
      </c>
      <c r="I17" s="39" t="n">
        <v>8</v>
      </c>
      <c r="J17" s="20" t="n">
        <v>11</v>
      </c>
      <c r="K17" s="20" t="n">
        <v>9</v>
      </c>
      <c r="L17" s="20" t="n">
        <v>3</v>
      </c>
      <c r="M17" s="39">
        <f>J17+K17+L17</f>
        <v/>
      </c>
      <c r="N17" s="39">
        <f>D17*M17</f>
        <v/>
      </c>
      <c r="O17" s="41">
        <f>E17-(2*G17/100)</f>
        <v/>
      </c>
      <c r="P17" s="41">
        <f>F17-(2*G17/100)</f>
        <v/>
      </c>
      <c r="Q17" s="41">
        <f>2*10*(I17/1000)</f>
        <v/>
      </c>
      <c r="R17" s="41">
        <f>3*2*(I17/1000)</f>
        <v/>
      </c>
      <c r="S17" s="42">
        <f>ROUND(2*O17+2*(P17/2)+Q17-R17, 2)</f>
        <v/>
      </c>
      <c r="T17" s="23">
        <f>N17*S17</f>
        <v/>
      </c>
      <c r="U17" s="24">
        <f>(T17*ROUND((I17^2)/162, 3))/1000</f>
        <v/>
      </c>
    </row>
    <row r="18" ht="22" customHeight="1">
      <c r="A18" s="12" t="n">
        <v>13</v>
      </c>
      <c r="B18" s="35" t="inlineStr">
        <is>
          <t>ع3</t>
        </is>
      </c>
      <c r="C18" s="36" t="inlineStr">
        <is>
          <t>الدور الأرضي</t>
        </is>
      </c>
      <c r="D18" s="12" t="n">
        <v>4</v>
      </c>
      <c r="E18" s="12" t="n">
        <v>0.4</v>
      </c>
      <c r="F18" s="12" t="n">
        <v>1</v>
      </c>
      <c r="G18" s="12" t="n">
        <v>3</v>
      </c>
      <c r="H18" s="36" t="inlineStr">
        <is>
          <t>كانة خارجية صندوقية</t>
        </is>
      </c>
      <c r="I18" s="35" t="n">
        <v>10</v>
      </c>
      <c r="J18" s="12" t="n">
        <v>16</v>
      </c>
      <c r="K18" s="12" t="n">
        <v>12</v>
      </c>
      <c r="L18" s="12" t="n">
        <v>5</v>
      </c>
      <c r="M18" s="35">
        <f>J18+K18+L18</f>
        <v/>
      </c>
      <c r="N18" s="35">
        <f>D18*M18</f>
        <v/>
      </c>
      <c r="O18" s="37">
        <f>E18-(2*G18/100)</f>
        <v/>
      </c>
      <c r="P18" s="37">
        <f>F18-(2*G18/100)</f>
        <v/>
      </c>
      <c r="Q18" s="37">
        <f>2*10*(I18/1000)</f>
        <v/>
      </c>
      <c r="R18" s="37">
        <f>3*2*(I18/1000)</f>
        <v/>
      </c>
      <c r="S18" s="38">
        <f>ROUND(2*O18+2*P18+Q18-R18, 2)</f>
        <v/>
      </c>
      <c r="T18" s="15">
        <f>N18*S18</f>
        <v/>
      </c>
      <c r="U18" s="16">
        <f>(T18*ROUND((I18^2)/162, 3))/1000</f>
        <v/>
      </c>
    </row>
    <row r="19" ht="22" customHeight="1">
      <c r="A19" s="20" t="n">
        <v>14</v>
      </c>
      <c r="B19" s="39" t="inlineStr">
        <is>
          <t>ع3</t>
        </is>
      </c>
      <c r="C19" s="40" t="inlineStr">
        <is>
          <t>الدور الأرضي</t>
        </is>
      </c>
      <c r="D19" s="20" t="n">
        <v>4</v>
      </c>
      <c r="E19" s="20" t="n">
        <v>0.4</v>
      </c>
      <c r="F19" s="20" t="n">
        <v>1</v>
      </c>
      <c r="G19" s="20" t="n">
        <v>3</v>
      </c>
      <c r="H19" s="40" t="inlineStr">
        <is>
          <t>كانة داخلية مربعة</t>
        </is>
      </c>
      <c r="I19" s="39" t="n">
        <v>10</v>
      </c>
      <c r="J19" s="20" t="n">
        <v>16</v>
      </c>
      <c r="K19" s="20" t="n">
        <v>12</v>
      </c>
      <c r="L19" s="20" t="n">
        <v>5</v>
      </c>
      <c r="M19" s="39">
        <f>J19+K19+L19</f>
        <v/>
      </c>
      <c r="N19" s="39">
        <f>D19*M19</f>
        <v/>
      </c>
      <c r="O19" s="41">
        <f>E19-(2*G19/100)</f>
        <v/>
      </c>
      <c r="P19" s="41">
        <f>F19-(2*G19/100)</f>
        <v/>
      </c>
      <c r="Q19" s="41">
        <f>2*10*(I19/1000)</f>
        <v/>
      </c>
      <c r="R19" s="41">
        <f>3*2*(I19/1000)</f>
        <v/>
      </c>
      <c r="S19" s="42">
        <f>ROUND(2*O19+2*(P19/2)+Q19-R19, 2)</f>
        <v/>
      </c>
      <c r="T19" s="23">
        <f>N19*S19</f>
        <v/>
      </c>
      <c r="U19" s="24">
        <f>(T19*ROUND((I19^2)/162, 3))/1000</f>
        <v/>
      </c>
    </row>
    <row r="20" ht="22" customHeight="1">
      <c r="A20" s="12" t="n">
        <v>15</v>
      </c>
      <c r="B20" s="35" t="inlineStr">
        <is>
          <t>ع3</t>
        </is>
      </c>
      <c r="C20" s="36" t="inlineStr">
        <is>
          <t>الدور الأرضي</t>
        </is>
      </c>
      <c r="D20" s="12" t="n">
        <v>4</v>
      </c>
      <c r="E20" s="12" t="n">
        <v>0.4</v>
      </c>
      <c r="F20" s="12" t="n">
        <v>1</v>
      </c>
      <c r="G20" s="12" t="n">
        <v>3</v>
      </c>
      <c r="H20" s="36" t="inlineStr">
        <is>
          <t>كانة معين (Diamond)</t>
        </is>
      </c>
      <c r="I20" s="35" t="n">
        <v>8</v>
      </c>
      <c r="J20" s="12" t="n">
        <v>16</v>
      </c>
      <c r="K20" s="12" t="n">
        <v>12</v>
      </c>
      <c r="L20" s="12" t="n">
        <v>5</v>
      </c>
      <c r="M20" s="35">
        <f>J20+K20+L20</f>
        <v/>
      </c>
      <c r="N20" s="35">
        <f>D20*M20</f>
        <v/>
      </c>
      <c r="O20" s="37">
        <f>E20-(2*G20/100)</f>
        <v/>
      </c>
      <c r="P20" s="37">
        <f>F20-(2*G20/100)</f>
        <v/>
      </c>
      <c r="Q20" s="37">
        <f>2*10*(I20/1000)</f>
        <v/>
      </c>
      <c r="R20" s="37">
        <f>3*2*(I20/1000)</f>
        <v/>
      </c>
      <c r="S20" s="38">
        <f>ROUND(4*SQRT((O20/2)^2 + (P20/2)^2)+Q20-R20, 2)</f>
        <v/>
      </c>
      <c r="T20" s="15">
        <f>N20*S20</f>
        <v/>
      </c>
      <c r="U20" s="16">
        <f>(T20*ROUND((I20^2)/162, 3))/1000</f>
        <v/>
      </c>
    </row>
    <row r="21" ht="22" customHeight="1">
      <c r="A21" s="20" t="n">
        <v>16</v>
      </c>
      <c r="B21" s="39" t="inlineStr">
        <is>
          <t>ع3</t>
        </is>
      </c>
      <c r="C21" s="40" t="inlineStr">
        <is>
          <t>الدور الأرضي</t>
        </is>
      </c>
      <c r="D21" s="20" t="n">
        <v>4</v>
      </c>
      <c r="E21" s="20" t="n">
        <v>0.4</v>
      </c>
      <c r="F21" s="20" t="n">
        <v>1</v>
      </c>
      <c r="G21" s="20" t="n">
        <v>3</v>
      </c>
      <c r="H21" s="40" t="inlineStr">
        <is>
          <t>كانة حباية ربط وسطي</t>
        </is>
      </c>
      <c r="I21" s="39" t="n">
        <v>8</v>
      </c>
      <c r="J21" s="20" t="n">
        <v>16</v>
      </c>
      <c r="K21" s="20" t="n">
        <v>12</v>
      </c>
      <c r="L21" s="20" t="n">
        <v>5</v>
      </c>
      <c r="M21" s="39">
        <f>J21+K21+L21</f>
        <v/>
      </c>
      <c r="N21" s="39">
        <f>D21*M21</f>
        <v/>
      </c>
      <c r="O21" s="41">
        <f>E21-(2*G21/100)</f>
        <v/>
      </c>
      <c r="P21" s="41">
        <f>F21-(2*G21/100)</f>
        <v/>
      </c>
      <c r="Q21" s="41">
        <f>2*10*(I21/1000)</f>
        <v/>
      </c>
      <c r="R21" s="41">
        <f>3*2*(I21/1000)</f>
        <v/>
      </c>
      <c r="S21" s="42">
        <f>ROUND(O21+Q21, 2)</f>
        <v/>
      </c>
      <c r="T21" s="23">
        <f>N21*S21</f>
        <v/>
      </c>
      <c r="U21" s="24">
        <f>(T21*ROUND((I21^2)/162, 3))/1000</f>
        <v/>
      </c>
    </row>
    <row r="22" ht="22" customHeight="1">
      <c r="A22" s="12" t="n">
        <v>17</v>
      </c>
      <c r="B22" s="35" t="inlineStr">
        <is>
          <t>ع.د 1</t>
        </is>
      </c>
      <c r="C22" s="36" t="inlineStr">
        <is>
          <t>الدور الأرضي</t>
        </is>
      </c>
      <c r="D22" s="12" t="n">
        <v>4</v>
      </c>
      <c r="E22" s="12" t="n">
        <v>0.6</v>
      </c>
      <c r="F22" s="12" t="n">
        <v>0.6</v>
      </c>
      <c r="G22" s="12" t="n">
        <v>3</v>
      </c>
      <c r="H22" s="36" t="inlineStr">
        <is>
          <t>كانة دائرية محيطية</t>
        </is>
      </c>
      <c r="I22" s="35" t="n">
        <v>10</v>
      </c>
      <c r="J22" s="12" t="n">
        <v>14</v>
      </c>
      <c r="K22" s="12" t="n">
        <v>11</v>
      </c>
      <c r="L22" s="12" t="n">
        <v>4</v>
      </c>
      <c r="M22" s="35">
        <f>J22+K22+L22</f>
        <v/>
      </c>
      <c r="N22" s="35">
        <f>D22*M22</f>
        <v/>
      </c>
      <c r="O22" s="37">
        <f>E22-(2*G22/100)</f>
        <v/>
      </c>
      <c r="P22" s="37">
        <f>F22-(2*G22/100)</f>
        <v/>
      </c>
      <c r="Q22" s="37">
        <f>2*10*(I22/1000)</f>
        <v/>
      </c>
      <c r="R22" s="37">
        <f>3*2*(I22/1000)</f>
        <v/>
      </c>
      <c r="S22" s="38">
        <f>ROUND(3.1416*(E22-(2*G22/100))+Q22+0.10, 2)</f>
        <v/>
      </c>
      <c r="T22" s="15">
        <f>N22*S22</f>
        <v/>
      </c>
      <c r="U22" s="16">
        <f>(T22*ROUND((I22^2)/162, 3))/1000</f>
        <v/>
      </c>
    </row>
    <row r="23" ht="22" customHeight="1">
      <c r="A23" s="20" t="n">
        <v>18</v>
      </c>
      <c r="B23" s="39" t="inlineStr">
        <is>
          <t>ع.د 1</t>
        </is>
      </c>
      <c r="C23" s="40" t="inlineStr">
        <is>
          <t>متكرر (أول - رابع)</t>
        </is>
      </c>
      <c r="D23" s="20" t="n">
        <v>16</v>
      </c>
      <c r="E23" s="20" t="n">
        <v>0.6</v>
      </c>
      <c r="F23" s="20" t="n">
        <v>0.6</v>
      </c>
      <c r="G23" s="20" t="n">
        <v>3</v>
      </c>
      <c r="H23" s="40" t="inlineStr">
        <is>
          <t>كانة دائرية محيطية</t>
        </is>
      </c>
      <c r="I23" s="39" t="n">
        <v>8</v>
      </c>
      <c r="J23" s="20" t="n">
        <v>12</v>
      </c>
      <c r="K23" s="20" t="n">
        <v>9</v>
      </c>
      <c r="L23" s="20" t="n">
        <v>3</v>
      </c>
      <c r="M23" s="39">
        <f>J23+K23+L23</f>
        <v/>
      </c>
      <c r="N23" s="39">
        <f>D23*M23</f>
        <v/>
      </c>
      <c r="O23" s="41">
        <f>E23-(2*G23/100)</f>
        <v/>
      </c>
      <c r="P23" s="41">
        <f>F23-(2*G23/100)</f>
        <v/>
      </c>
      <c r="Q23" s="41">
        <f>2*10*(I23/1000)</f>
        <v/>
      </c>
      <c r="R23" s="41">
        <f>3*2*(I23/1000)</f>
        <v/>
      </c>
      <c r="S23" s="42">
        <f>ROUND(3.1416*(E23-(2*G23/100))+Q23+0.10, 2)</f>
        <v/>
      </c>
      <c r="T23" s="23">
        <f>N23*S23</f>
        <v/>
      </c>
      <c r="U23" s="24">
        <f>(T23*ROUND((I23^2)/162, 3))/1000</f>
        <v/>
      </c>
    </row>
    <row r="24" ht="26" customHeight="1">
      <c r="A24" s="28" t="inlineStr">
        <is>
          <t>الإجمالي الكلي لكانات الأعمدة</t>
        </is>
      </c>
      <c r="B24" s="28" t="n"/>
      <c r="C24" s="28" t="n"/>
      <c r="D24" s="28" t="n"/>
      <c r="E24" s="28" t="n"/>
      <c r="F24" s="28" t="n"/>
      <c r="G24" s="28" t="n"/>
      <c r="H24" s="28" t="n"/>
      <c r="I24" s="28" t="n"/>
      <c r="J24" s="28" t="n"/>
      <c r="K24" s="28" t="n"/>
      <c r="L24" s="28" t="n"/>
      <c r="M24" s="28" t="n"/>
      <c r="N24" s="31">
        <f>SUM(N6:N23)</f>
        <v/>
      </c>
      <c r="O24" s="28" t="n"/>
      <c r="P24" s="28" t="n"/>
      <c r="Q24" s="28" t="n"/>
      <c r="R24" s="28" t="n"/>
      <c r="S24" s="28" t="n"/>
      <c r="T24" s="29">
        <f>SUM(T6:T23)</f>
        <v/>
      </c>
      <c r="U24" s="30">
        <f>SUM(U6:U23)</f>
        <v/>
      </c>
    </row>
  </sheetData>
  <mergeCells count="18">
    <mergeCell ref="E4:F4"/>
    <mergeCell ref="M4:M5"/>
    <mergeCell ref="B4:B5"/>
    <mergeCell ref="A2:U2"/>
    <mergeCell ref="O4:R4"/>
    <mergeCell ref="C4:C5"/>
    <mergeCell ref="A4:A5"/>
    <mergeCell ref="G4:G5"/>
    <mergeCell ref="D4:D5"/>
    <mergeCell ref="T4:T5"/>
    <mergeCell ref="H4:H5"/>
    <mergeCell ref="I4:I5"/>
    <mergeCell ref="N4:N5"/>
    <mergeCell ref="S4:S5"/>
    <mergeCell ref="J4:L4"/>
    <mergeCell ref="U4:U5"/>
    <mergeCell ref="A1:U1"/>
    <mergeCell ref="A24:M2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rightToLeft="1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6" customHeight="1">
      <c r="A1" s="1" t="inlineStr">
        <is>
          <t>المرجع الفني واشتراطات الكود لتسليح وتكثيف كانات الأعمدة الخرسانية</t>
        </is>
      </c>
    </row>
    <row r="3">
      <c r="A3" s="10" t="inlineStr">
        <is>
          <t>1. اشتراطات وضوابط كانات الأعمدة ومناطق التكثيف الزلزالية (Seismic Confinement):</t>
        </is>
      </c>
    </row>
    <row r="4" ht="24" customHeight="1">
      <c r="A4" s="43" t="inlineStr">
        <is>
          <t>طول منطقة التكثيف (Lo):</t>
        </is>
      </c>
      <c r="B4" s="44" t="n"/>
      <c r="C4" s="45" t="inlineStr">
        <is>
          <t>Lo = Max [ البعد الأكبر للعمود ، سدس الارتفاع الخالص H/6 ، 50 سم ]</t>
        </is>
      </c>
      <c r="D4" s="44" t="n"/>
      <c r="E4" s="44" t="n"/>
      <c r="F4" s="40" t="inlineStr">
        <is>
          <t>يتم تكثيف الكانات في هذه المسافة عند أسفل العمود وأعلى العمود أسفل الكمرات.</t>
        </is>
      </c>
      <c r="G4" s="44" t="n"/>
      <c r="H4" s="44" t="n"/>
    </row>
    <row r="5" ht="24" customHeight="1">
      <c r="A5" s="43" t="inlineStr">
        <is>
          <t>المسافة بين الكانات في منطقة التكثيف (So):</t>
        </is>
      </c>
      <c r="B5" s="44" t="n"/>
      <c r="C5" s="45" t="inlineStr">
        <is>
          <t>So = Min [ 8 أقطار أصغر سيخ طولي ، ربع أصغر بعد للعمود ، 15 سم ]</t>
        </is>
      </c>
      <c r="D5" s="44" t="n"/>
      <c r="E5" s="44" t="n"/>
      <c r="F5" s="40" t="inlineStr">
        <is>
          <t>تضمن حبس الخرسانة ومنع التحنيب ومقاومة القص الزلزالي.</t>
        </is>
      </c>
      <c r="G5" s="44" t="n"/>
      <c r="H5" s="44" t="n"/>
    </row>
    <row r="6" ht="24" customHeight="1">
      <c r="A6" s="43" t="inlineStr">
        <is>
          <t>المسافة بين الكانات في منطقة المنتصف (S):</t>
        </is>
      </c>
      <c r="B6" s="44" t="n"/>
      <c r="C6" s="45" t="inlineStr">
        <is>
          <t>S = Min [ 15 قطر أصغر سيخ طولي ، أصغر بعد للعمود ، 20 سم ]</t>
        </is>
      </c>
      <c r="D6" s="44" t="n"/>
      <c r="E6" s="44" t="n"/>
      <c r="F6" s="40" t="inlineStr">
        <is>
          <t>المسافة المعيارية خارج مناطق التكثيف.</t>
        </is>
      </c>
      <c r="G6" s="44" t="n"/>
      <c r="H6" s="44" t="n"/>
    </row>
    <row r="7" ht="24" customHeight="1">
      <c r="A7" s="43" t="inlineStr">
        <is>
          <t>استمرار كانات الأعمدة داخل الكمرات والقواعد:</t>
        </is>
      </c>
      <c r="B7" s="44" t="n"/>
      <c r="C7" s="45" t="inlineStr">
        <is>
          <t>تستمر كانات الأعمدة بكامل عددها داخل منطقة اتصال العمود بالكمرة والقاعدة</t>
        </is>
      </c>
      <c r="D7" s="44" t="n"/>
      <c r="E7" s="44" t="n"/>
      <c r="F7" s="40" t="inlineStr">
        <is>
          <t>لا يجوز إيقاف كانات العمود عند بطنية الكمرة نهائياً.</t>
        </is>
      </c>
      <c r="G7" s="44" t="n"/>
      <c r="H7" s="44" t="n"/>
    </row>
    <row r="8" ht="24" customHeight="1">
      <c r="A8" s="43" t="inlineStr">
        <is>
          <t>قفل الكانة واشتراطات الزلازل:</t>
        </is>
      </c>
      <c r="B8" s="44" t="n"/>
      <c r="C8" s="45" t="inlineStr">
        <is>
          <t>طول قفل الكانة لا يقل عن 10 أقطار السيخ (10Φ) أو 7.5 سم أيهما أكبر بزاوية 135°</t>
        </is>
      </c>
      <c r="D8" s="44" t="n"/>
      <c r="E8" s="44" t="n"/>
      <c r="F8" s="40" t="inlineStr">
        <is>
          <t>يتم تبادل مواضع قفل الكانات رأسياً بطول العمود (Staggered Hooks).</t>
        </is>
      </c>
      <c r="G8" s="44" t="n"/>
      <c r="H8" s="44" t="n"/>
    </row>
    <row r="9" ht="24" customHeight="1">
      <c r="A9" s="43" t="inlineStr">
        <is>
          <t>ربط الأسياخ الطولية بالكانات:</t>
        </is>
      </c>
      <c r="B9" s="44" t="n"/>
      <c r="C9" s="45" t="inlineStr">
        <is>
          <t>إذا زادت المسافة بين سيخين متتاليين عن 15 سم، يجب ربط السيخ التالي بكانة (حباية أو معين)</t>
        </is>
      </c>
      <c r="D9" s="44" t="n"/>
      <c r="E9" s="44" t="n"/>
      <c r="F9" s="40" t="inlineStr">
        <is>
          <t>المسافة بين أي سيخ مربوط وسيخ غير مربوط لا تزيد عن 30 سم.</t>
        </is>
      </c>
      <c r="G9" s="44" t="n"/>
      <c r="H9" s="44" t="n"/>
    </row>
    <row r="12">
      <c r="A12" s="10" t="inlineStr">
        <is>
          <t>2. جدول الخصائص القياسية لأقطار حديد التسليح والكانات:</t>
        </is>
      </c>
    </row>
    <row r="13" ht="26" customHeight="1">
      <c r="A13" s="11" t="inlineStr">
        <is>
          <t>القطر الاسمي (Φ ملم)</t>
        </is>
      </c>
      <c r="B13" s="11" t="inlineStr">
        <is>
          <t>مساحة المقطع (سم²)</t>
        </is>
      </c>
      <c r="C13" s="11" t="inlineStr">
        <is>
          <t>وزن المتر الطولي النظري (كجم/م)</t>
        </is>
      </c>
      <c r="D13" s="11" t="inlineStr">
        <is>
          <t>عدد الأسياخ (12م) في الطن</t>
        </is>
      </c>
      <c r="E13" s="11" t="inlineStr">
        <is>
          <t>طول التراكب بالضغط (Ld = 40Φ)</t>
        </is>
      </c>
      <c r="F13" s="11" t="inlineStr">
        <is>
          <t>طول التراكب بالشد (Lap = 60Φ)</t>
        </is>
      </c>
      <c r="G13" s="11" t="inlineStr">
        <is>
          <t>أقل طول لقفل الكانة (10Φ)</t>
        </is>
      </c>
      <c r="H13" s="11" t="inlineStr">
        <is>
          <t>مجال الاستخدام الشائع بالأعمدة</t>
        </is>
      </c>
    </row>
    <row r="14" ht="20" customHeight="1">
      <c r="A14" s="39" t="inlineStr">
        <is>
          <t>Φ 8</t>
        </is>
      </c>
      <c r="B14" s="21" t="n">
        <v>0.503</v>
      </c>
      <c r="C14" s="21">
        <f>ROUND((8^2)/162, 3)</f>
        <v/>
      </c>
      <c r="D14" s="46">
        <f>ROUND(1000/(C14*12), 1)</f>
        <v/>
      </c>
      <c r="E14" s="20" t="inlineStr">
        <is>
          <t>0.32 م</t>
        </is>
      </c>
      <c r="F14" s="20" t="inlineStr">
        <is>
          <t>0.48 م</t>
        </is>
      </c>
      <c r="G14" s="20" t="inlineStr">
        <is>
          <t>8.0 سم</t>
        </is>
      </c>
      <c r="H14" s="40" t="inlineStr">
        <is>
          <t>كانات داخلية وخارجية خفيفة</t>
        </is>
      </c>
    </row>
    <row r="15" ht="20" customHeight="1">
      <c r="A15" s="35" t="inlineStr">
        <is>
          <t>Φ 10</t>
        </is>
      </c>
      <c r="B15" s="13" t="n">
        <v>0.785</v>
      </c>
      <c r="C15" s="13">
        <f>ROUND((10^2)/162, 3)</f>
        <v/>
      </c>
      <c r="D15" s="47">
        <f>ROUND(1000/(C15*12), 1)</f>
        <v/>
      </c>
      <c r="E15" s="12" t="inlineStr">
        <is>
          <t>0.40 م</t>
        </is>
      </c>
      <c r="F15" s="12" t="inlineStr">
        <is>
          <t>0.60 م</t>
        </is>
      </c>
      <c r="G15" s="12" t="inlineStr">
        <is>
          <t>10.0 سم</t>
        </is>
      </c>
      <c r="H15" s="36" t="inlineStr">
        <is>
          <t>كانات رئيسية وتكثيف زلزالي</t>
        </is>
      </c>
    </row>
    <row r="16" ht="20" customHeight="1">
      <c r="A16" s="39" t="inlineStr">
        <is>
          <t>Φ 12</t>
        </is>
      </c>
      <c r="B16" s="21" t="n">
        <v>1.131</v>
      </c>
      <c r="C16" s="21">
        <f>ROUND((12^2)/162, 3)</f>
        <v/>
      </c>
      <c r="D16" s="46">
        <f>ROUND(1000/(C16*12), 1)</f>
        <v/>
      </c>
      <c r="E16" s="20" t="inlineStr">
        <is>
          <t>0.48 م</t>
        </is>
      </c>
      <c r="F16" s="20" t="inlineStr">
        <is>
          <t>0.72 م</t>
        </is>
      </c>
      <c r="G16" s="20" t="inlineStr">
        <is>
          <t>12.0 سم</t>
        </is>
      </c>
      <c r="H16" s="40" t="inlineStr">
        <is>
          <t>كانات أعمدة ضخمة أو تسليح طولي خفيف</t>
        </is>
      </c>
    </row>
    <row r="17" ht="20" customHeight="1">
      <c r="A17" s="35" t="inlineStr">
        <is>
          <t>Φ 14</t>
        </is>
      </c>
      <c r="B17" s="13" t="n">
        <v>1.539</v>
      </c>
      <c r="C17" s="13">
        <f>ROUND((14^2)/162, 3)</f>
        <v/>
      </c>
      <c r="D17" s="47">
        <f>ROUND(1000/(C17*12), 1)</f>
        <v/>
      </c>
      <c r="E17" s="12" t="inlineStr">
        <is>
          <t>0.56 م</t>
        </is>
      </c>
      <c r="F17" s="12" t="inlineStr">
        <is>
          <t>0.84 م</t>
        </is>
      </c>
      <c r="G17" s="12" t="inlineStr">
        <is>
          <t>14.0 سم</t>
        </is>
      </c>
      <c r="H17" s="36" t="inlineStr">
        <is>
          <t>حديد طولي لأعمدة الفلل والمباني الصغيرة</t>
        </is>
      </c>
    </row>
    <row r="18" ht="20" customHeight="1">
      <c r="A18" s="39" t="inlineStr">
        <is>
          <t>Φ 16</t>
        </is>
      </c>
      <c r="B18" s="21" t="n">
        <v>2.011</v>
      </c>
      <c r="C18" s="21">
        <f>ROUND((16^2)/162, 3)</f>
        <v/>
      </c>
      <c r="D18" s="46">
        <f>ROUND(1000/(C18*12), 1)</f>
        <v/>
      </c>
      <c r="E18" s="20" t="inlineStr">
        <is>
          <t>0.64 م</t>
        </is>
      </c>
      <c r="F18" s="20" t="inlineStr">
        <is>
          <t>0.96 م</t>
        </is>
      </c>
      <c r="G18" s="20" t="inlineStr">
        <is>
          <t>16.0 سم</t>
        </is>
      </c>
      <c r="H18" s="40" t="inlineStr">
        <is>
          <t>حديد طولي رئيسي للمباني السكنية</t>
        </is>
      </c>
    </row>
    <row r="19" ht="20" customHeight="1">
      <c r="A19" s="35" t="inlineStr">
        <is>
          <t>Φ 18</t>
        </is>
      </c>
      <c r="B19" s="13" t="n">
        <v>2.545</v>
      </c>
      <c r="C19" s="13">
        <f>ROUND((18^2)/162, 3)</f>
        <v/>
      </c>
      <c r="D19" s="47">
        <f>ROUND(1000/(C19*12), 1)</f>
        <v/>
      </c>
      <c r="E19" s="12" t="inlineStr">
        <is>
          <t>0.72 م</t>
        </is>
      </c>
      <c r="F19" s="12" t="inlineStr">
        <is>
          <t>1.08 م</t>
        </is>
      </c>
      <c r="G19" s="12" t="inlineStr">
        <is>
          <t>18.0 سم</t>
        </is>
      </c>
      <c r="H19" s="36" t="inlineStr">
        <is>
          <t>حديد طولي للأعمدة المحملة والأبراج</t>
        </is>
      </c>
    </row>
    <row r="20" ht="20" customHeight="1">
      <c r="A20" s="39" t="inlineStr">
        <is>
          <t>Φ 20</t>
        </is>
      </c>
      <c r="B20" s="21" t="n">
        <v>3.142</v>
      </c>
      <c r="C20" s="21">
        <f>ROUND((20^2)/162, 3)</f>
        <v/>
      </c>
      <c r="D20" s="46">
        <f>ROUND(1000/(C20*12), 1)</f>
        <v/>
      </c>
      <c r="E20" s="20" t="inlineStr">
        <is>
          <t>0.80 م</t>
        </is>
      </c>
      <c r="F20" s="20" t="inlineStr">
        <is>
          <t>1.20 م</t>
        </is>
      </c>
      <c r="G20" s="20" t="inlineStr">
        <is>
          <t>20.0 سم</t>
        </is>
      </c>
      <c r="H20" s="40" t="inlineStr">
        <is>
          <t>تسليح رئيسي لأعمدة الأبراج والرياح</t>
        </is>
      </c>
    </row>
    <row r="21" ht="20" customHeight="1">
      <c r="A21" s="35" t="inlineStr">
        <is>
          <t>Φ 22</t>
        </is>
      </c>
      <c r="B21" s="13" t="n">
        <v>3.801</v>
      </c>
      <c r="C21" s="13">
        <f>ROUND((22^2)/162, 3)</f>
        <v/>
      </c>
      <c r="D21" s="47">
        <f>ROUND(1000/(C21*12), 1)</f>
        <v/>
      </c>
      <c r="E21" s="12" t="inlineStr">
        <is>
          <t>0.88 م</t>
        </is>
      </c>
      <c r="F21" s="12" t="inlineStr">
        <is>
          <t>1.32 م</t>
        </is>
      </c>
      <c r="G21" s="12" t="inlineStr">
        <is>
          <t>22.0 سم</t>
        </is>
      </c>
      <c r="H21" s="36" t="inlineStr">
        <is>
          <t>تسليح ثقيل للمصاعد والأبراج العالية</t>
        </is>
      </c>
    </row>
    <row r="22" ht="20" customHeight="1">
      <c r="A22" s="39" t="inlineStr">
        <is>
          <t>Φ 25</t>
        </is>
      </c>
      <c r="B22" s="21" t="n">
        <v>4.909</v>
      </c>
      <c r="C22" s="21">
        <f>ROUND((25^2)/162, 3)</f>
        <v/>
      </c>
      <c r="D22" s="46">
        <f>ROUND(1000/(C22*12), 1)</f>
        <v/>
      </c>
      <c r="E22" s="20" t="inlineStr">
        <is>
          <t>1.00 م</t>
        </is>
      </c>
      <c r="F22" s="20" t="inlineStr">
        <is>
          <t>1.50 م</t>
        </is>
      </c>
      <c r="G22" s="20" t="inlineStr">
        <is>
          <t>25.0 سم</t>
        </is>
      </c>
      <c r="H22" s="40" t="inlineStr">
        <is>
          <t>تسليح ثقيل جداً لأبراج +20 دور</t>
        </is>
      </c>
    </row>
  </sheetData>
  <mergeCells count="19">
    <mergeCell ref="F5:H5"/>
    <mergeCell ref="C9:E9"/>
    <mergeCell ref="F8:H8"/>
    <mergeCell ref="A1:H1"/>
    <mergeCell ref="A6:B6"/>
    <mergeCell ref="A7:B7"/>
    <mergeCell ref="C8:E8"/>
    <mergeCell ref="F9:H9"/>
    <mergeCell ref="C7:E7"/>
    <mergeCell ref="A5:B5"/>
    <mergeCell ref="F4:H4"/>
    <mergeCell ref="A8:B8"/>
    <mergeCell ref="C6:E6"/>
    <mergeCell ref="A4:B4"/>
    <mergeCell ref="F6:H6"/>
    <mergeCell ref="C5:E5"/>
    <mergeCell ref="C4:E4"/>
    <mergeCell ref="F7:H7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2026-10-01T04:42:12Z</dcterms:created>
  <dcterms:modified xmlns:dcterms="http://purl.org/dc/terms/" xmlns:xsi="http://www.w3.org/2001/XMLSchema-instance" xsi:type="dcterms:W3CDTF">2026-10-01T04:42:12Z</dcterms:modified>
</cp:coreProperties>
</file>