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مؤشرات وملخص التوريد" sheetId="1" state="visible" r:id="rId1"/>
    <sheet xmlns:r="http://schemas.openxmlformats.org/officeDocument/2006/relationships" name="تفريد حديد القواعد المسلحة" sheetId="2" state="visible" r:id="rId2"/>
    <sheet xmlns:r="http://schemas.openxmlformats.org/officeDocument/2006/relationships" name="تفريد حديد الشدادات والميد" sheetId="3" state="visible" r:id="rId3"/>
    <sheet xmlns:r="http://schemas.openxmlformats.org/officeDocument/2006/relationships" name="الأكواد والثوابت الهندسي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%"/>
    <numFmt numFmtId="166" formatCode="#,##0.0"/>
    <numFmt numFmtId="167" formatCode="0.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FFFFFF"/>
      <sz val="10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475569"/>
      <sz val="9"/>
    </font>
    <font>
      <name val="Segoe UI"/>
      <b val="1"/>
      <color rgb="001E3A8A"/>
      <sz val="16"/>
    </font>
    <font>
      <name val="Segoe UI"/>
      <i val="1"/>
      <color rgb="0064748B"/>
      <sz val="8"/>
    </font>
    <font>
      <name val="Segoe UI"/>
      <b val="1"/>
      <color rgb="001E293B"/>
      <sz val="11"/>
    </font>
    <font>
      <name val="Segoe UI"/>
      <b val="1"/>
      <color rgb="00FFFFFF"/>
      <sz val="9"/>
    </font>
    <font>
      <name val="Segoe UI"/>
      <b val="1"/>
      <color rgb="00065F46"/>
      <sz val="9"/>
    </font>
    <font>
      <name val="Segoe UI"/>
      <b val="1"/>
      <color rgb="00065F46"/>
      <sz val="10"/>
    </font>
    <font>
      <name val="Segoe UI"/>
      <b val="1"/>
      <color rgb="00334155"/>
      <sz val="9"/>
    </font>
    <font>
      <name val="Segoe UI"/>
      <b val="1"/>
      <color rgb="001E3A8A"/>
      <sz val="9"/>
    </font>
  </fonts>
  <fills count="9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ECFDF5"/>
        <bgColor rgb="00ECFDF5"/>
      </patternFill>
    </fill>
    <fill>
      <patternFill patternType="solid">
        <fgColor rgb="00334155"/>
        <bgColor rgb="00334155"/>
      </patternFill>
    </fill>
    <fill>
      <patternFill patternType="solid">
        <fgColor rgb="00E2E8F0"/>
        <bgColor rgb="00E2E8F0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5F46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6" fillId="4" borderId="1" applyAlignment="1" pivotButton="0" quotePrefix="0" xfId="0">
      <alignment horizontal="center" vertical="center" wrapText="1"/>
    </xf>
    <xf numFmtId="3" fontId="6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center" vertical="center" wrapText="1"/>
    </xf>
    <xf numFmtId="4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4" fontId="10" fillId="5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4" fontId="4" fillId="4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4" fontId="10" fillId="4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 wrapText="1"/>
    </xf>
    <xf numFmtId="4" fontId="11" fillId="6" borderId="2" applyAlignment="1" pivotButton="0" quotePrefix="0" xfId="0">
      <alignment horizontal="center" vertical="center" wrapText="1"/>
    </xf>
    <xf numFmtId="164" fontId="11" fillId="6" borderId="2" applyAlignment="1" pivotButton="0" quotePrefix="0" xfId="0">
      <alignment horizontal="center" vertical="center" wrapText="1"/>
    </xf>
    <xf numFmtId="3" fontId="11" fillId="6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7" borderId="0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right" vertical="center" wrapText="1"/>
    </xf>
    <xf numFmtId="2" fontId="4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2" fontId="4" fillId="4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6" fontId="11" fillId="6" borderId="2" applyAlignment="1" pivotButton="0" quotePrefix="0" xfId="0">
      <alignment horizontal="center" vertical="center" wrapText="1"/>
    </xf>
    <xf numFmtId="0" fontId="4" fillId="5" borderId="1" pivotButton="0" quotePrefix="0" xfId="0"/>
    <xf numFmtId="0" fontId="4" fillId="4" borderId="1" pivotButton="0" quotePrefix="0" xfId="0"/>
    <xf numFmtId="167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0" fontId="0" fillId="4" borderId="1" pivotButton="0" quotePrefix="0" xfId="0"/>
    <xf numFmtId="0" fontId="1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1" rightToLeft="1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20" customWidth="1" min="4" max="4"/>
    <col width="20" customWidth="1" min="5" max="5"/>
    <col width="20" customWidth="1" min="6" max="6"/>
    <col width="20" customWidth="1" min="7" max="7"/>
    <col width="16" customWidth="1" min="8" max="8"/>
    <col width="22" customWidth="1" min="9" max="9"/>
    <col width="24" customWidth="1" min="10" max="10"/>
  </cols>
  <sheetData>
    <row r="1" ht="38" customHeight="1">
      <c r="A1" s="1" t="inlineStr">
        <is>
          <t>شيت تفريد وحصر حديد تسليح القواعد والشدادات (Bar Bending Schedule - BBS)</t>
        </is>
      </c>
    </row>
    <row r="2" ht="24" customHeight="1">
      <c r="A2" s="2" t="inlineStr">
        <is>
          <t>المكتب الفني وإدارة التنفيذ | حصر تفصيلي للأطوال والأوزان ومذكرات التوريد بالأقطار والهالك</t>
        </is>
      </c>
    </row>
    <row r="4" ht="22" customHeight="1">
      <c r="A4" s="3" t="inlineStr">
        <is>
          <t>اسم المشروع:</t>
        </is>
      </c>
      <c r="B4" s="4" t="inlineStr">
        <is>
          <t>مشروع إنشاء مجمع الأبراج السكنية والتجارية</t>
        </is>
      </c>
      <c r="F4" s="3" t="inlineStr">
        <is>
          <t>تاريخ الحصر:</t>
        </is>
      </c>
      <c r="G4" s="4" t="inlineStr">
        <is>
          <t>2026-10-01</t>
        </is>
      </c>
    </row>
    <row r="5" ht="22" customHeight="1">
      <c r="A5" s="3" t="inlineStr">
        <is>
          <t>استشاري المشروع:</t>
        </is>
      </c>
      <c r="B5" s="4" t="inlineStr">
        <is>
          <t>مكتب الاستشارات الهندسية المتكاملة</t>
        </is>
      </c>
      <c r="F5" s="3" t="inlineStr">
        <is>
          <t>رقم الإصدار:</t>
        </is>
      </c>
      <c r="G5" s="4" t="inlineStr">
        <is>
          <t>Rev 02 - معتمد للتنفيذ</t>
        </is>
      </c>
    </row>
    <row r="6" ht="22" customHeight="1">
      <c r="A6" s="3" t="inlineStr">
        <is>
          <t>المقاول العام:</t>
        </is>
      </c>
      <c r="B6" s="4" t="inlineStr">
        <is>
          <t>شركة المقاولات العامة والإنشاءات التخصصية</t>
        </is>
      </c>
      <c r="F6" s="3" t="inlineStr">
        <is>
          <t>الكود المعتمد:</t>
        </is>
      </c>
      <c r="G6" s="4" t="inlineStr">
        <is>
          <t>الكود المصري ECP 203 / الكود السعودي SBC 304</t>
        </is>
      </c>
    </row>
    <row r="8" ht="18" customHeight="1">
      <c r="A8" s="5" t="inlineStr">
        <is>
          <t>إجمالي حديد القواعد والشدادات</t>
        </is>
      </c>
      <c r="B8" s="6" t="n"/>
      <c r="C8" s="5" t="inlineStr">
        <is>
          <t>الوزن الإجمالي شامل الهالك</t>
        </is>
      </c>
      <c r="D8" s="6" t="n"/>
      <c r="E8" s="5" t="inlineStr">
        <is>
          <t>إجمالي عدد الأسياخ (12م)</t>
        </is>
      </c>
      <c r="F8" s="6" t="n"/>
      <c r="G8" s="6" t="n"/>
      <c r="H8" s="5" t="inlineStr">
        <is>
          <t>التكلفة التقديرية للحديد</t>
        </is>
      </c>
      <c r="I8" s="6" t="n"/>
      <c r="J8" s="6" t="n"/>
    </row>
    <row r="9" ht="28" customHeight="1">
      <c r="A9" s="7">
        <f>G23</f>
        <v/>
      </c>
      <c r="B9" s="6" t="n"/>
      <c r="C9" s="7">
        <f>I23</f>
        <v/>
      </c>
      <c r="D9" s="6" t="n"/>
      <c r="E9" s="8">
        <f>J23</f>
        <v/>
      </c>
      <c r="F9" s="6" t="n"/>
      <c r="G9" s="6" t="n"/>
      <c r="H9" s="8">
        <f>I23*35000</f>
        <v/>
      </c>
      <c r="I9" s="6" t="n"/>
      <c r="J9" s="6" t="n"/>
    </row>
    <row r="10" ht="18" customHeight="1">
      <c r="A10" s="9" t="inlineStr">
        <is>
          <t>طن متري صافي</t>
        </is>
      </c>
      <c r="B10" s="6" t="n"/>
      <c r="C10" s="9" t="inlineStr">
        <is>
          <t>طن شامل هالك 4.5%</t>
        </is>
      </c>
      <c r="D10" s="6" t="n"/>
      <c r="E10" s="9" t="inlineStr">
        <is>
          <t>سيخ بطول 12 متر للتوريد</t>
        </is>
      </c>
      <c r="F10" s="6" t="n"/>
      <c r="G10" s="6" t="n"/>
      <c r="H10" s="9" t="inlineStr">
        <is>
          <t>تقديري (فئة 35,000)</t>
        </is>
      </c>
      <c r="I10" s="6" t="n"/>
      <c r="J10" s="6" t="n"/>
    </row>
    <row r="12" ht="26" customHeight="1">
      <c r="A12" s="10" t="inlineStr">
        <is>
          <t>📌 ملخص التوريد والكميات حسب أقطار حديد التسليح (Rebar Schedule by Diameter)</t>
        </is>
      </c>
    </row>
    <row r="13" ht="26" customHeight="1">
      <c r="A13" s="11" t="inlineStr">
        <is>
          <t>م</t>
        </is>
      </c>
      <c r="B13" s="11" t="inlineStr">
        <is>
          <t>قطر السيخ (Φ ملم)</t>
        </is>
      </c>
      <c r="C13" s="11" t="inlineStr">
        <is>
          <t>وزن المتر الطولي (كجم/م)</t>
        </is>
      </c>
      <c r="D13" s="11" t="inlineStr">
        <is>
          <t>إجمالي الطول بالقواعد (م)</t>
        </is>
      </c>
      <c r="E13" s="11" t="inlineStr">
        <is>
          <t>إجمالي الطول بالشدادات (م)</t>
        </is>
      </c>
      <c r="F13" s="11" t="inlineStr">
        <is>
          <t>إجمالي الطول الكلي (م)</t>
        </is>
      </c>
      <c r="G13" s="11" t="inlineStr">
        <is>
          <t>إجمالي الوزن الصافي (طن)</t>
        </is>
      </c>
      <c r="H13" s="11" t="inlineStr">
        <is>
          <t>نسبة الهالك المقدرة (%)</t>
        </is>
      </c>
      <c r="I13" s="11" t="inlineStr">
        <is>
          <t>إجمالي وزن الطلبية شامل الهالك (طن)</t>
        </is>
      </c>
      <c r="J13" s="11" t="inlineStr">
        <is>
          <t>عدد الأسياخ القياسية (12 م) المطلوبة</t>
        </is>
      </c>
    </row>
    <row r="14" ht="22" customHeight="1">
      <c r="A14" s="12" t="n">
        <v>1</v>
      </c>
      <c r="B14" s="12" t="inlineStr">
        <is>
          <t>Φ 8</t>
        </is>
      </c>
      <c r="C14" s="13">
        <f>ROUND((8^2)/162, 3)</f>
        <v/>
      </c>
      <c r="D14" s="14">
        <f>SUMIF('تفريد حديد القواعد المسلحة'!$I$6:$I$30, 8, 'تفريد حديد القواعد المسلحة'!$S$6:$S$30)</f>
        <v/>
      </c>
      <c r="E14" s="14">
        <f>SUMIF('تفريد حديد الشدادات والميد'!$H$6:$H$30, 8, 'تفريد حديد الشدادات والميد'!$M$6:$M$30)</f>
        <v/>
      </c>
      <c r="F14" s="15">
        <f>D14+E14</f>
        <v/>
      </c>
      <c r="G14" s="16">
        <f>(F14*C14)/1000</f>
        <v/>
      </c>
      <c r="H14" s="17" t="n">
        <v>0.05</v>
      </c>
      <c r="I14" s="18">
        <f>G14*(1+H14)</f>
        <v/>
      </c>
      <c r="J14" s="19">
        <f>ROUNDUP((F14*(1+H14))/12, 0)</f>
        <v/>
      </c>
    </row>
    <row r="15" ht="22" customHeight="1">
      <c r="A15" s="20" t="n">
        <v>2</v>
      </c>
      <c r="B15" s="20" t="inlineStr">
        <is>
          <t>Φ 10</t>
        </is>
      </c>
      <c r="C15" s="21">
        <f>ROUND((10^2)/162, 3)</f>
        <v/>
      </c>
      <c r="D15" s="22">
        <f>SUMIF('تفريد حديد القواعد المسلحة'!$I$6:$I$30, 10, 'تفريد حديد القواعد المسلحة'!$S$6:$S$30)</f>
        <v/>
      </c>
      <c r="E15" s="22">
        <f>SUMIF('تفريد حديد الشدادات والميد'!$H$6:$H$30, 10, 'تفريد حديد الشدادات والميد'!$M$6:$M$30)</f>
        <v/>
      </c>
      <c r="F15" s="23">
        <f>D15+E15</f>
        <v/>
      </c>
      <c r="G15" s="24">
        <f>(F15*C15)/1000</f>
        <v/>
      </c>
      <c r="H15" s="25" t="n">
        <v>0.05</v>
      </c>
      <c r="I15" s="26">
        <f>G15*(1+H15)</f>
        <v/>
      </c>
      <c r="J15" s="27">
        <f>ROUNDUP((F15*(1+H15))/12, 0)</f>
        <v/>
      </c>
    </row>
    <row r="16" ht="22" customHeight="1">
      <c r="A16" s="12" t="n">
        <v>3</v>
      </c>
      <c r="B16" s="12" t="inlineStr">
        <is>
          <t>Φ 12</t>
        </is>
      </c>
      <c r="C16" s="13">
        <f>ROUND((12^2)/162, 3)</f>
        <v/>
      </c>
      <c r="D16" s="14">
        <f>SUMIF('تفريد حديد القواعد المسلحة'!$I$6:$I$30, 12, 'تفريد حديد القواعد المسلحة'!$S$6:$S$30)</f>
        <v/>
      </c>
      <c r="E16" s="14">
        <f>SUMIF('تفريد حديد الشدادات والميد'!$H$6:$H$30, 12, 'تفريد حديد الشدادات والميد'!$M$6:$M$30)</f>
        <v/>
      </c>
      <c r="F16" s="15">
        <f>D16+E16</f>
        <v/>
      </c>
      <c r="G16" s="16">
        <f>(F16*C16)/1000</f>
        <v/>
      </c>
      <c r="H16" s="17" t="n">
        <v>0.05</v>
      </c>
      <c r="I16" s="18">
        <f>G16*(1+H16)</f>
        <v/>
      </c>
      <c r="J16" s="19">
        <f>ROUNDUP((F16*(1+H16))/12, 0)</f>
        <v/>
      </c>
    </row>
    <row r="17" ht="22" customHeight="1">
      <c r="A17" s="20" t="n">
        <v>4</v>
      </c>
      <c r="B17" s="20" t="inlineStr">
        <is>
          <t>Φ 14</t>
        </is>
      </c>
      <c r="C17" s="21">
        <f>ROUND((14^2)/162, 3)</f>
        <v/>
      </c>
      <c r="D17" s="22">
        <f>SUMIF('تفريد حديد القواعد المسلحة'!$I$6:$I$30, 14, 'تفريد حديد القواعد المسلحة'!$S$6:$S$30)</f>
        <v/>
      </c>
      <c r="E17" s="22">
        <f>SUMIF('تفريد حديد الشدادات والميد'!$H$6:$H$30, 14, 'تفريد حديد الشدادات والميد'!$M$6:$M$30)</f>
        <v/>
      </c>
      <c r="F17" s="23">
        <f>D17+E17</f>
        <v/>
      </c>
      <c r="G17" s="24">
        <f>(F17*C17)/1000</f>
        <v/>
      </c>
      <c r="H17" s="25" t="n">
        <v>0.04</v>
      </c>
      <c r="I17" s="26">
        <f>G17*(1+H17)</f>
        <v/>
      </c>
      <c r="J17" s="27">
        <f>ROUNDUP((F17*(1+H17))/12, 0)</f>
        <v/>
      </c>
    </row>
    <row r="18" ht="22" customHeight="1">
      <c r="A18" s="12" t="n">
        <v>5</v>
      </c>
      <c r="B18" s="12" t="inlineStr">
        <is>
          <t>Φ 16</t>
        </is>
      </c>
      <c r="C18" s="13">
        <f>ROUND((16^2)/162, 3)</f>
        <v/>
      </c>
      <c r="D18" s="14">
        <f>SUMIF('تفريد حديد القواعد المسلحة'!$I$6:$I$30, 16, 'تفريد حديد القواعد المسلحة'!$S$6:$S$30)</f>
        <v/>
      </c>
      <c r="E18" s="14">
        <f>SUMIF('تفريد حديد الشدادات والميد'!$H$6:$H$30, 16, 'تفريد حديد الشدادات والميد'!$M$6:$M$30)</f>
        <v/>
      </c>
      <c r="F18" s="15">
        <f>D18+E18</f>
        <v/>
      </c>
      <c r="G18" s="16">
        <f>(F18*C18)/1000</f>
        <v/>
      </c>
      <c r="H18" s="17" t="n">
        <v>0.04</v>
      </c>
      <c r="I18" s="18">
        <f>G18*(1+H18)</f>
        <v/>
      </c>
      <c r="J18" s="19">
        <f>ROUNDUP((F18*(1+H18))/12, 0)</f>
        <v/>
      </c>
    </row>
    <row r="19" ht="22" customHeight="1">
      <c r="A19" s="20" t="n">
        <v>6</v>
      </c>
      <c r="B19" s="20" t="inlineStr">
        <is>
          <t>Φ 18</t>
        </is>
      </c>
      <c r="C19" s="21">
        <f>ROUND((18^2)/162, 3)</f>
        <v/>
      </c>
      <c r="D19" s="22">
        <f>SUMIF('تفريد حديد القواعد المسلحة'!$I$6:$I$30, 18, 'تفريد حديد القواعد المسلحة'!$S$6:$S$30)</f>
        <v/>
      </c>
      <c r="E19" s="22">
        <f>SUMIF('تفريد حديد الشدادات والميد'!$H$6:$H$30, 18, 'تفريد حديد الشدادات والميد'!$M$6:$M$30)</f>
        <v/>
      </c>
      <c r="F19" s="23">
        <f>D19+E19</f>
        <v/>
      </c>
      <c r="G19" s="24">
        <f>(F19*C19)/1000</f>
        <v/>
      </c>
      <c r="H19" s="25" t="n">
        <v>0.04</v>
      </c>
      <c r="I19" s="26">
        <f>G19*(1+H19)</f>
        <v/>
      </c>
      <c r="J19" s="27">
        <f>ROUNDUP((F19*(1+H19))/12, 0)</f>
        <v/>
      </c>
    </row>
    <row r="20" ht="22" customHeight="1">
      <c r="A20" s="12" t="n">
        <v>7</v>
      </c>
      <c r="B20" s="12" t="inlineStr">
        <is>
          <t>Φ 20</t>
        </is>
      </c>
      <c r="C20" s="13">
        <f>ROUND((20^2)/162, 3)</f>
        <v/>
      </c>
      <c r="D20" s="14">
        <f>SUMIF('تفريد حديد القواعد المسلحة'!$I$6:$I$30, 20, 'تفريد حديد القواعد المسلحة'!$S$6:$S$30)</f>
        <v/>
      </c>
      <c r="E20" s="14">
        <f>SUMIF('تفريد حديد الشدادات والميد'!$H$6:$H$30, 20, 'تفريد حديد الشدادات والميد'!$M$6:$M$30)</f>
        <v/>
      </c>
      <c r="F20" s="15">
        <f>D20+E20</f>
        <v/>
      </c>
      <c r="G20" s="16">
        <f>(F20*C20)/1000</f>
        <v/>
      </c>
      <c r="H20" s="17" t="n">
        <v>0.04</v>
      </c>
      <c r="I20" s="18">
        <f>G20*(1+H20)</f>
        <v/>
      </c>
      <c r="J20" s="19">
        <f>ROUNDUP((F20*(1+H20))/12, 0)</f>
        <v/>
      </c>
    </row>
    <row r="21" ht="22" customHeight="1">
      <c r="A21" s="20" t="n">
        <v>8</v>
      </c>
      <c r="B21" s="20" t="inlineStr">
        <is>
          <t>Φ 22</t>
        </is>
      </c>
      <c r="C21" s="21">
        <f>ROUND((22^2)/162, 3)</f>
        <v/>
      </c>
      <c r="D21" s="22">
        <f>SUMIF('تفريد حديد القواعد المسلحة'!$I$6:$I$30, 22, 'تفريد حديد القواعد المسلحة'!$S$6:$S$30)</f>
        <v/>
      </c>
      <c r="E21" s="22">
        <f>SUMIF('تفريد حديد الشدادات والميد'!$H$6:$H$30, 22, 'تفريد حديد الشدادات والميد'!$M$6:$M$30)</f>
        <v/>
      </c>
      <c r="F21" s="23">
        <f>D21+E21</f>
        <v/>
      </c>
      <c r="G21" s="24">
        <f>(F21*C21)/1000</f>
        <v/>
      </c>
      <c r="H21" s="25" t="n">
        <v>0.04</v>
      </c>
      <c r="I21" s="26">
        <f>G21*(1+H21)</f>
        <v/>
      </c>
      <c r="J21" s="27">
        <f>ROUNDUP((F21*(1+H21))/12, 0)</f>
        <v/>
      </c>
    </row>
    <row r="22" ht="22" customHeight="1">
      <c r="A22" s="12" t="n">
        <v>9</v>
      </c>
      <c r="B22" s="12" t="inlineStr">
        <is>
          <t>Φ 25</t>
        </is>
      </c>
      <c r="C22" s="13">
        <f>ROUND((25^2)/162, 3)</f>
        <v/>
      </c>
      <c r="D22" s="14">
        <f>SUMIF('تفريد حديد القواعد المسلحة'!$I$6:$I$30, 25, 'تفريد حديد القواعد المسلحة'!$S$6:$S$30)</f>
        <v/>
      </c>
      <c r="E22" s="14">
        <f>SUMIF('تفريد حديد الشدادات والميد'!$H$6:$H$30, 25, 'تفريد حديد الشدادات والميد'!$M$6:$M$30)</f>
        <v/>
      </c>
      <c r="F22" s="15">
        <f>D22+E22</f>
        <v/>
      </c>
      <c r="G22" s="16">
        <f>(F22*C22)/1000</f>
        <v/>
      </c>
      <c r="H22" s="17" t="n">
        <v>0.04</v>
      </c>
      <c r="I22" s="18">
        <f>G22*(1+H22)</f>
        <v/>
      </c>
      <c r="J22" s="19">
        <f>ROUNDUP((F22*(1+H22))/12, 0)</f>
        <v/>
      </c>
    </row>
    <row r="23" ht="25" customHeight="1">
      <c r="A23" s="28" t="inlineStr">
        <is>
          <t>الإجمالي الكلي</t>
        </is>
      </c>
      <c r="B23" s="28" t="n"/>
      <c r="C23" s="28" t="n"/>
      <c r="D23" s="29">
        <f>SUM(D14:D22)</f>
        <v/>
      </c>
      <c r="E23" s="29">
        <f>SUM(E14:E22)</f>
        <v/>
      </c>
      <c r="F23" s="29">
        <f>SUM(F14:F22)</f>
        <v/>
      </c>
      <c r="G23" s="30">
        <f>SUM(G14:G22)</f>
        <v/>
      </c>
      <c r="H23" s="28" t="inlineStr">
        <is>
          <t>-</t>
        </is>
      </c>
      <c r="I23" s="30">
        <f>SUM(I14:I22)</f>
        <v/>
      </c>
      <c r="J23" s="31">
        <f>SUM(J14:J22)</f>
        <v/>
      </c>
    </row>
    <row r="26">
      <c r="A26" s="32" t="inlineStr">
        <is>
          <t>مهندس المكتب الفني (إعداد وحصر):</t>
        </is>
      </c>
      <c r="D26" s="32" t="inlineStr">
        <is>
          <t>مدير المشروع (مراجعة وتدقيق):</t>
        </is>
      </c>
      <c r="H26" s="32" t="inlineStr">
        <is>
          <t>استشاري المشروع (اعتماد التنفيذ):</t>
        </is>
      </c>
    </row>
    <row r="28">
      <c r="A28" s="4" t="inlineStr">
        <is>
          <t>الاسم والتوقيع: .......................................</t>
        </is>
      </c>
      <c r="D28" s="4" t="inlineStr">
        <is>
          <t>الاسم والتوقيع: .......................................</t>
        </is>
      </c>
      <c r="H28" s="4" t="inlineStr">
        <is>
          <t>الختم والاعتماد: .......................................</t>
        </is>
      </c>
    </row>
  </sheetData>
  <mergeCells count="22">
    <mergeCell ref="E10:G10"/>
    <mergeCell ref="G4:J4"/>
    <mergeCell ref="B6:E6"/>
    <mergeCell ref="E9:G9"/>
    <mergeCell ref="B5:E5"/>
    <mergeCell ref="C10:D10"/>
    <mergeCell ref="B4:E4"/>
    <mergeCell ref="A23:C23"/>
    <mergeCell ref="C9:D9"/>
    <mergeCell ref="A1:J1"/>
    <mergeCell ref="H8:J8"/>
    <mergeCell ref="A8:B8"/>
    <mergeCell ref="C8:D8"/>
    <mergeCell ref="G6:J6"/>
    <mergeCell ref="H10:J10"/>
    <mergeCell ref="A10:B10"/>
    <mergeCell ref="E8:G8"/>
    <mergeCell ref="A12:J12"/>
    <mergeCell ref="H9:J9"/>
    <mergeCell ref="A2:J2"/>
    <mergeCell ref="A9:B9"/>
    <mergeCell ref="G5: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1"/>
  <sheetViews>
    <sheetView showGridLines="1" rightToLeft="1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0" customWidth="1" min="3" max="3"/>
    <col width="9" customWidth="1" min="4" max="4"/>
    <col width="9" customWidth="1" min="5" max="5"/>
    <col width="9" customWidth="1" min="6" max="6"/>
    <col width="10" customWidth="1" min="7" max="7"/>
    <col width="15" customWidth="1" min="8" max="8"/>
    <col width="10" customWidth="1" min="9" max="9"/>
    <col width="9" customWidth="1" min="10" max="10"/>
    <col width="12" customWidth="1" min="11" max="11"/>
    <col width="12" customWidth="1" min="12" max="12"/>
    <col width="13" customWidth="1" min="13" max="13"/>
    <col width="10" customWidth="1" min="14" max="14"/>
    <col width="12" customWidth="1" min="15" max="15"/>
    <col width="10" customWidth="1" min="16" max="16"/>
    <col width="11" customWidth="1" min="17" max="17"/>
    <col width="13" customWidth="1" min="18" max="18"/>
    <col width="15" customWidth="1" min="19" max="19"/>
    <col width="13" customWidth="1" min="20" max="20"/>
    <col width="15" customWidth="1" min="21" max="21"/>
    <col width="14" customWidth="1" min="22" max="22"/>
    <col width="20" customWidth="1" min="23" max="23"/>
  </cols>
  <sheetData>
    <row r="1" ht="36" customHeight="1">
      <c r="A1" s="1" t="inlineStr">
        <is>
          <t>جدول تفريد وتفصيل حديد تسليح القواعد المسلحة (Footings Bar Bending Schedule - BBS)</t>
        </is>
      </c>
    </row>
    <row r="2" ht="22" customHeight="1">
      <c r="A2" s="33" t="inlineStr">
        <is>
          <t>حساب قطعيات الأسياخ (Cutting Length) وخصم الثنيات (Bend Deductions) والأوزان وفقاً للغطاء الخرساني والأبعاد</t>
        </is>
      </c>
    </row>
    <row r="4" ht="24" customHeight="1">
      <c r="A4" s="11" t="inlineStr">
        <is>
          <t>م</t>
        </is>
      </c>
      <c r="B4" s="11" t="inlineStr">
        <is>
          <t>نموذج القاعدة</t>
        </is>
      </c>
      <c r="C4" s="11" t="inlineStr">
        <is>
          <t>العدد المتكرر</t>
        </is>
      </c>
      <c r="D4" s="11" t="inlineStr">
        <is>
          <t>أبعاد الخرسانة المسلحة (م)</t>
        </is>
      </c>
      <c r="E4" s="6" t="n"/>
      <c r="F4" s="6" t="n"/>
      <c r="G4" s="11" t="inlineStr">
        <is>
          <t>الغطاء (سم)</t>
        </is>
      </c>
      <c r="H4" s="11" t="inlineStr">
        <is>
          <t>موضع التسليح</t>
        </is>
      </c>
      <c r="I4" s="11" t="inlineStr">
        <is>
          <t>القطر Φ (ملم)</t>
        </is>
      </c>
      <c r="J4" s="11" t="inlineStr">
        <is>
          <t>العدد / م</t>
        </is>
      </c>
      <c r="K4" s="11" t="inlineStr">
        <is>
          <t>الأسياخ / القاعدة</t>
        </is>
      </c>
      <c r="L4" s="11" t="inlineStr">
        <is>
          <t>إجمالي الأسياخ</t>
        </is>
      </c>
      <c r="M4" s="11" t="inlineStr">
        <is>
          <t>شكل التفريد</t>
        </is>
      </c>
      <c r="N4" s="11" t="inlineStr">
        <is>
          <t>أطوال أضلاع السيخ (م)</t>
        </is>
      </c>
      <c r="O4" s="6" t="n"/>
      <c r="P4" s="6" t="n"/>
      <c r="Q4" s="11" t="inlineStr">
        <is>
          <t>خصم الثنيات (م)</t>
        </is>
      </c>
      <c r="R4" s="11" t="inlineStr">
        <is>
          <t>طول القطعية (م)</t>
        </is>
      </c>
      <c r="S4" s="11" t="inlineStr">
        <is>
          <t>إجمالي الأطوال (م)</t>
        </is>
      </c>
      <c r="T4" s="11" t="inlineStr">
        <is>
          <t>وزن المتر (كجم/م)</t>
        </is>
      </c>
      <c r="U4" s="11" t="inlineStr">
        <is>
          <t>الوزن الكلي (كجم)</t>
        </is>
      </c>
      <c r="V4" s="11" t="inlineStr">
        <is>
          <t>الوزن الكلي (طن)</t>
        </is>
      </c>
      <c r="W4" s="11" t="inlineStr">
        <is>
          <t>ملاحظات وتفاصيل الرباط</t>
        </is>
      </c>
    </row>
    <row r="5" ht="24" customHeight="1">
      <c r="A5" s="6" t="n"/>
      <c r="B5" s="6" t="n"/>
      <c r="C5" s="6" t="n"/>
      <c r="D5" s="34" t="inlineStr">
        <is>
          <t>طول L</t>
        </is>
      </c>
      <c r="E5" s="34" t="inlineStr">
        <is>
          <t>عرض B</t>
        </is>
      </c>
      <c r="F5" s="34" t="inlineStr">
        <is>
          <t>سمك T</t>
        </is>
      </c>
      <c r="G5" s="6" t="n"/>
      <c r="H5" s="6" t="n"/>
      <c r="I5" s="6" t="n"/>
      <c r="J5" s="6" t="n"/>
      <c r="K5" s="6" t="n"/>
      <c r="L5" s="6" t="n"/>
      <c r="M5" s="6" t="n"/>
      <c r="N5" s="34" t="inlineStr">
        <is>
          <t>رجل 1 (h1)</t>
        </is>
      </c>
      <c r="O5" s="34" t="inlineStr">
        <is>
          <t>جزء أفقي (b)</t>
        </is>
      </c>
      <c r="P5" s="34" t="inlineStr">
        <is>
          <t>رجل 2 (h2)</t>
        </is>
      </c>
      <c r="Q5" s="6" t="n"/>
      <c r="R5" s="6" t="n"/>
      <c r="S5" s="6" t="n"/>
      <c r="T5" s="6" t="n"/>
      <c r="U5" s="6" t="n"/>
      <c r="V5" s="6" t="n"/>
      <c r="W5" s="6" t="n"/>
    </row>
    <row r="6" ht="22" customHeight="1">
      <c r="A6" s="12" t="n">
        <v>1</v>
      </c>
      <c r="B6" s="35" t="inlineStr">
        <is>
          <t>ق1</t>
        </is>
      </c>
      <c r="C6" s="12" t="n">
        <v>6</v>
      </c>
      <c r="D6" s="12" t="n">
        <v>1.8</v>
      </c>
      <c r="E6" s="12" t="n">
        <v>1.6</v>
      </c>
      <c r="F6" s="12" t="n">
        <v>0.6</v>
      </c>
      <c r="G6" s="12" t="n">
        <v>5</v>
      </c>
      <c r="H6" s="36" t="inlineStr">
        <is>
          <t>فرش اتجاه الطول</t>
        </is>
      </c>
      <c r="I6" s="35" t="n">
        <v>16</v>
      </c>
      <c r="J6" s="12" t="n">
        <v>6</v>
      </c>
      <c r="K6" s="35">
        <f>ROUNDUP(E6*J6, 0)+1</f>
        <v/>
      </c>
      <c r="L6" s="35">
        <f>C6*K6</f>
        <v/>
      </c>
      <c r="M6" s="12" t="inlineStr">
        <is>
          <t>حرف U برجلين</t>
        </is>
      </c>
      <c r="N6" s="37">
        <f>F6-(2*G6/100)</f>
        <v/>
      </c>
      <c r="O6" s="37">
        <f>D6-(2*G6/100)</f>
        <v/>
      </c>
      <c r="P6" s="37">
        <f>F6-(2*G6/100)</f>
        <v/>
      </c>
      <c r="Q6" s="37">
        <f>2*2*(I6/1000)</f>
        <v/>
      </c>
      <c r="R6" s="38">
        <f>ROUND(N6+O6+P6-Q6, 2)</f>
        <v/>
      </c>
      <c r="S6" s="15">
        <f>L6*R6</f>
        <v/>
      </c>
      <c r="T6" s="13">
        <f>ROUND((I6^2)/162, 3)</f>
        <v/>
      </c>
      <c r="U6" s="39">
        <f>S6*T6</f>
        <v/>
      </c>
      <c r="V6" s="16">
        <f>U6/1000</f>
        <v/>
      </c>
      <c r="W6" s="36" t="inlineStr">
        <is>
          <t>توضع الأرجل متبادلة</t>
        </is>
      </c>
    </row>
    <row r="7" ht="22" customHeight="1">
      <c r="A7" s="20" t="n">
        <v>2</v>
      </c>
      <c r="B7" s="40" t="inlineStr">
        <is>
          <t>ق1</t>
        </is>
      </c>
      <c r="C7" s="20" t="n">
        <v>6</v>
      </c>
      <c r="D7" s="20" t="n">
        <v>1.8</v>
      </c>
      <c r="E7" s="20" t="n">
        <v>1.6</v>
      </c>
      <c r="F7" s="20" t="n">
        <v>0.6</v>
      </c>
      <c r="G7" s="20" t="n">
        <v>5</v>
      </c>
      <c r="H7" s="41" t="inlineStr">
        <is>
          <t>غطاء اتجاه العرض</t>
        </is>
      </c>
      <c r="I7" s="40" t="n">
        <v>16</v>
      </c>
      <c r="J7" s="20" t="n">
        <v>6</v>
      </c>
      <c r="K7" s="40">
        <f>ROUNDUP(D7*J7, 0)+1</f>
        <v/>
      </c>
      <c r="L7" s="40">
        <f>C7*K7</f>
        <v/>
      </c>
      <c r="M7" s="20" t="inlineStr">
        <is>
          <t>حرف U برجلين</t>
        </is>
      </c>
      <c r="N7" s="42">
        <f>F7-(2*G7/100)</f>
        <v/>
      </c>
      <c r="O7" s="42">
        <f>E7-(2*G7/100)</f>
        <v/>
      </c>
      <c r="P7" s="42">
        <f>F7-(2*G7/100)</f>
        <v/>
      </c>
      <c r="Q7" s="42">
        <f>2*2*(I7/1000)</f>
        <v/>
      </c>
      <c r="R7" s="43">
        <f>ROUND(N7+O7+P7-Q7, 2)</f>
        <v/>
      </c>
      <c r="S7" s="23">
        <f>L7*R7</f>
        <v/>
      </c>
      <c r="T7" s="21">
        <f>ROUND((I7^2)/162, 3)</f>
        <v/>
      </c>
      <c r="U7" s="44">
        <f>S7*T7</f>
        <v/>
      </c>
      <c r="V7" s="24">
        <f>U7/1000</f>
        <v/>
      </c>
      <c r="W7" s="41" t="inlineStr">
        <is>
          <t>توضع الأرجل متبادلة</t>
        </is>
      </c>
    </row>
    <row r="8" ht="22" customHeight="1">
      <c r="A8" s="12" t="n">
        <v>3</v>
      </c>
      <c r="B8" s="35" t="inlineStr">
        <is>
          <t>ق2</t>
        </is>
      </c>
      <c r="C8" s="12" t="n">
        <v>8</v>
      </c>
      <c r="D8" s="12" t="n">
        <v>2.2</v>
      </c>
      <c r="E8" s="12" t="n">
        <v>2</v>
      </c>
      <c r="F8" s="12" t="n">
        <v>0.6</v>
      </c>
      <c r="G8" s="12" t="n">
        <v>5</v>
      </c>
      <c r="H8" s="36" t="inlineStr">
        <is>
          <t>فرش اتجاه الطول</t>
        </is>
      </c>
      <c r="I8" s="35" t="n">
        <v>16</v>
      </c>
      <c r="J8" s="12" t="n">
        <v>7</v>
      </c>
      <c r="K8" s="35">
        <f>ROUNDUP(E8*J8, 0)+1</f>
        <v/>
      </c>
      <c r="L8" s="35">
        <f>C8*K8</f>
        <v/>
      </c>
      <c r="M8" s="12" t="inlineStr">
        <is>
          <t>حرف U برجلين</t>
        </is>
      </c>
      <c r="N8" s="37">
        <f>F8-(2*G8/100)</f>
        <v/>
      </c>
      <c r="O8" s="37">
        <f>D8-(2*G8/100)</f>
        <v/>
      </c>
      <c r="P8" s="37">
        <f>F8-(2*G8/100)</f>
        <v/>
      </c>
      <c r="Q8" s="37">
        <f>2*2*(I8/1000)</f>
        <v/>
      </c>
      <c r="R8" s="38">
        <f>ROUND(N8+O8+P8-Q8, 2)</f>
        <v/>
      </c>
      <c r="S8" s="15">
        <f>L8*R8</f>
        <v/>
      </c>
      <c r="T8" s="13">
        <f>ROUND((I8^2)/162, 3)</f>
        <v/>
      </c>
      <c r="U8" s="39">
        <f>S8*T8</f>
        <v/>
      </c>
      <c r="V8" s="16">
        <f>U8/1000</f>
        <v/>
      </c>
      <c r="W8" s="36" t="inlineStr">
        <is>
          <t>توضع الأرجل متبادلة</t>
        </is>
      </c>
    </row>
    <row r="9" ht="22" customHeight="1">
      <c r="A9" s="20" t="n">
        <v>4</v>
      </c>
      <c r="B9" s="40" t="inlineStr">
        <is>
          <t>ق2</t>
        </is>
      </c>
      <c r="C9" s="20" t="n">
        <v>8</v>
      </c>
      <c r="D9" s="20" t="n">
        <v>2.2</v>
      </c>
      <c r="E9" s="20" t="n">
        <v>2</v>
      </c>
      <c r="F9" s="20" t="n">
        <v>0.6</v>
      </c>
      <c r="G9" s="20" t="n">
        <v>5</v>
      </c>
      <c r="H9" s="41" t="inlineStr">
        <is>
          <t>غطاء اتجاه العرض</t>
        </is>
      </c>
      <c r="I9" s="40" t="n">
        <v>16</v>
      </c>
      <c r="J9" s="20" t="n">
        <v>6</v>
      </c>
      <c r="K9" s="40">
        <f>ROUNDUP(D9*J9, 0)+1</f>
        <v/>
      </c>
      <c r="L9" s="40">
        <f>C9*K9</f>
        <v/>
      </c>
      <c r="M9" s="20" t="inlineStr">
        <is>
          <t>حرف U برجلين</t>
        </is>
      </c>
      <c r="N9" s="42">
        <f>F9-(2*G9/100)</f>
        <v/>
      </c>
      <c r="O9" s="42">
        <f>E9-(2*G9/100)</f>
        <v/>
      </c>
      <c r="P9" s="42">
        <f>F9-(2*G9/100)</f>
        <v/>
      </c>
      <c r="Q9" s="42">
        <f>2*2*(I9/1000)</f>
        <v/>
      </c>
      <c r="R9" s="43">
        <f>ROUND(N9+O9+P9-Q9, 2)</f>
        <v/>
      </c>
      <c r="S9" s="23">
        <f>L9*R9</f>
        <v/>
      </c>
      <c r="T9" s="21">
        <f>ROUND((I9^2)/162, 3)</f>
        <v/>
      </c>
      <c r="U9" s="44">
        <f>S9*T9</f>
        <v/>
      </c>
      <c r="V9" s="24">
        <f>U9/1000</f>
        <v/>
      </c>
      <c r="W9" s="41" t="inlineStr">
        <is>
          <t>توضع الأرجل متبادلة</t>
        </is>
      </c>
    </row>
    <row r="10" ht="22" customHeight="1">
      <c r="A10" s="12" t="n">
        <v>5</v>
      </c>
      <c r="B10" s="35" t="inlineStr">
        <is>
          <t>ق3</t>
        </is>
      </c>
      <c r="C10" s="12" t="n">
        <v>4</v>
      </c>
      <c r="D10" s="12" t="n">
        <v>2.6</v>
      </c>
      <c r="E10" s="12" t="n">
        <v>2.4</v>
      </c>
      <c r="F10" s="12" t="n">
        <v>0.7</v>
      </c>
      <c r="G10" s="12" t="n">
        <v>5</v>
      </c>
      <c r="H10" s="36" t="inlineStr">
        <is>
          <t>فرش اتجاه الطول</t>
        </is>
      </c>
      <c r="I10" s="35" t="n">
        <v>18</v>
      </c>
      <c r="J10" s="12" t="n">
        <v>7</v>
      </c>
      <c r="K10" s="35">
        <f>ROUNDUP(E10*J10, 0)+1</f>
        <v/>
      </c>
      <c r="L10" s="35">
        <f>C10*K10</f>
        <v/>
      </c>
      <c r="M10" s="12" t="inlineStr">
        <is>
          <t>حرف U برجلين</t>
        </is>
      </c>
      <c r="N10" s="37">
        <f>F10-(2*G10/100)</f>
        <v/>
      </c>
      <c r="O10" s="37">
        <f>D10-(2*G10/100)</f>
        <v/>
      </c>
      <c r="P10" s="37">
        <f>F10-(2*G10/100)</f>
        <v/>
      </c>
      <c r="Q10" s="37">
        <f>2*2*(I10/1000)</f>
        <v/>
      </c>
      <c r="R10" s="38">
        <f>ROUND(N10+O10+P10-Q10, 2)</f>
        <v/>
      </c>
      <c r="S10" s="15">
        <f>L10*R10</f>
        <v/>
      </c>
      <c r="T10" s="13">
        <f>ROUND((I10^2)/162, 3)</f>
        <v/>
      </c>
      <c r="U10" s="39">
        <f>S10*T10</f>
        <v/>
      </c>
      <c r="V10" s="16">
        <f>U10/1000</f>
        <v/>
      </c>
      <c r="W10" s="36" t="inlineStr">
        <is>
          <t>تثبيت مع شداد الجار</t>
        </is>
      </c>
    </row>
    <row r="11" ht="22" customHeight="1">
      <c r="A11" s="20" t="n">
        <v>6</v>
      </c>
      <c r="B11" s="40" t="inlineStr">
        <is>
          <t>ق3</t>
        </is>
      </c>
      <c r="C11" s="20" t="n">
        <v>4</v>
      </c>
      <c r="D11" s="20" t="n">
        <v>2.6</v>
      </c>
      <c r="E11" s="20" t="n">
        <v>2.4</v>
      </c>
      <c r="F11" s="20" t="n">
        <v>0.7</v>
      </c>
      <c r="G11" s="20" t="n">
        <v>5</v>
      </c>
      <c r="H11" s="41" t="inlineStr">
        <is>
          <t>غطاء اتجاه العرض</t>
        </is>
      </c>
      <c r="I11" s="40" t="n">
        <v>16</v>
      </c>
      <c r="J11" s="20" t="n">
        <v>7</v>
      </c>
      <c r="K11" s="40">
        <f>ROUNDUP(D11*J11, 0)+1</f>
        <v/>
      </c>
      <c r="L11" s="40">
        <f>C11*K11</f>
        <v/>
      </c>
      <c r="M11" s="20" t="inlineStr">
        <is>
          <t>حرف U برجلين</t>
        </is>
      </c>
      <c r="N11" s="42">
        <f>F11-(2*G11/100)</f>
        <v/>
      </c>
      <c r="O11" s="42">
        <f>E11-(2*G11/100)</f>
        <v/>
      </c>
      <c r="P11" s="42">
        <f>F11-(2*G11/100)</f>
        <v/>
      </c>
      <c r="Q11" s="42">
        <f>2*2*(I11/1000)</f>
        <v/>
      </c>
      <c r="R11" s="43">
        <f>ROUND(N11+O11+P11-Q11, 2)</f>
        <v/>
      </c>
      <c r="S11" s="23">
        <f>L11*R11</f>
        <v/>
      </c>
      <c r="T11" s="21">
        <f>ROUND((I11^2)/162, 3)</f>
        <v/>
      </c>
      <c r="U11" s="44">
        <f>S11*T11</f>
        <v/>
      </c>
      <c r="V11" s="24">
        <f>U11/1000</f>
        <v/>
      </c>
      <c r="W11" s="41" t="inlineStr">
        <is>
          <t>تثبيت مع شداد الجار</t>
        </is>
      </c>
    </row>
    <row r="12" ht="22" customHeight="1">
      <c r="A12" s="12" t="n">
        <v>7</v>
      </c>
      <c r="B12" s="35" t="inlineStr">
        <is>
          <t>ق4</t>
        </is>
      </c>
      <c r="C12" s="12" t="n">
        <v>2</v>
      </c>
      <c r="D12" s="12" t="n">
        <v>3</v>
      </c>
      <c r="E12" s="12" t="n">
        <v>2.8</v>
      </c>
      <c r="F12" s="12" t="n">
        <v>0.8</v>
      </c>
      <c r="G12" s="12" t="n">
        <v>5</v>
      </c>
      <c r="H12" s="36" t="inlineStr">
        <is>
          <t>فرش اتجاه الطول</t>
        </is>
      </c>
      <c r="I12" s="35" t="n">
        <v>18</v>
      </c>
      <c r="J12" s="12" t="n">
        <v>7</v>
      </c>
      <c r="K12" s="35">
        <f>ROUNDUP(E12*J12, 0)+1</f>
        <v/>
      </c>
      <c r="L12" s="35">
        <f>C12*K12</f>
        <v/>
      </c>
      <c r="M12" s="12" t="inlineStr">
        <is>
          <t>حرف U برجلين</t>
        </is>
      </c>
      <c r="N12" s="37">
        <f>F12-(2*G12/100)</f>
        <v/>
      </c>
      <c r="O12" s="37">
        <f>D12-(2*G12/100)</f>
        <v/>
      </c>
      <c r="P12" s="37">
        <f>F12-(2*G12/100)</f>
        <v/>
      </c>
      <c r="Q12" s="37">
        <f>2*2*(I12/1000)</f>
        <v/>
      </c>
      <c r="R12" s="38">
        <f>ROUND(N12+O12+P12-Q12, 2)</f>
        <v/>
      </c>
      <c r="S12" s="15">
        <f>L12*R12</f>
        <v/>
      </c>
      <c r="T12" s="13">
        <f>ROUND((I12^2)/162, 3)</f>
        <v/>
      </c>
      <c r="U12" s="39">
        <f>S12*T12</f>
        <v/>
      </c>
      <c r="V12" s="16">
        <f>U12/1000</f>
        <v/>
      </c>
      <c r="W12" s="36" t="inlineStr">
        <is>
          <t>تثبيت مع شداد الجار</t>
        </is>
      </c>
    </row>
    <row r="13" ht="22" customHeight="1">
      <c r="A13" s="20" t="n">
        <v>8</v>
      </c>
      <c r="B13" s="40" t="inlineStr">
        <is>
          <t>ق4</t>
        </is>
      </c>
      <c r="C13" s="20" t="n">
        <v>2</v>
      </c>
      <c r="D13" s="20" t="n">
        <v>3</v>
      </c>
      <c r="E13" s="20" t="n">
        <v>2.8</v>
      </c>
      <c r="F13" s="20" t="n">
        <v>0.8</v>
      </c>
      <c r="G13" s="20" t="n">
        <v>5</v>
      </c>
      <c r="H13" s="41" t="inlineStr">
        <is>
          <t>غطاء اتجاه العرض</t>
        </is>
      </c>
      <c r="I13" s="40" t="n">
        <v>18</v>
      </c>
      <c r="J13" s="20" t="n">
        <v>7</v>
      </c>
      <c r="K13" s="40">
        <f>ROUNDUP(D13*J13, 0)+1</f>
        <v/>
      </c>
      <c r="L13" s="40">
        <f>C13*K13</f>
        <v/>
      </c>
      <c r="M13" s="20" t="inlineStr">
        <is>
          <t>حرف U برجلين</t>
        </is>
      </c>
      <c r="N13" s="42">
        <f>F13-(2*G13/100)</f>
        <v/>
      </c>
      <c r="O13" s="42">
        <f>E13-(2*G13/100)</f>
        <v/>
      </c>
      <c r="P13" s="42">
        <f>F13-(2*G13/100)</f>
        <v/>
      </c>
      <c r="Q13" s="42">
        <f>2*2*(I13/1000)</f>
        <v/>
      </c>
      <c r="R13" s="43">
        <f>ROUND(N13+O13+P13-Q13, 2)</f>
        <v/>
      </c>
      <c r="S13" s="23">
        <f>L13*R13</f>
        <v/>
      </c>
      <c r="T13" s="21">
        <f>ROUND((I13^2)/162, 3)</f>
        <v/>
      </c>
      <c r="U13" s="44">
        <f>S13*T13</f>
        <v/>
      </c>
      <c r="V13" s="24">
        <f>U13/1000</f>
        <v/>
      </c>
      <c r="W13" s="41" t="inlineStr">
        <is>
          <t>تثبيت مع شداد الجار</t>
        </is>
      </c>
    </row>
    <row r="14" ht="22" customHeight="1">
      <c r="A14" s="12" t="n">
        <v>9</v>
      </c>
      <c r="B14" s="35" t="inlineStr">
        <is>
          <t>ق4</t>
        </is>
      </c>
      <c r="C14" s="12" t="n">
        <v>2</v>
      </c>
      <c r="D14" s="12" t="n">
        <v>3</v>
      </c>
      <c r="E14" s="12" t="n">
        <v>2.8</v>
      </c>
      <c r="F14" s="12" t="n">
        <v>0.8</v>
      </c>
      <c r="G14" s="12" t="n">
        <v>5</v>
      </c>
      <c r="H14" s="36" t="inlineStr">
        <is>
          <t>شبكة علوية انكماش</t>
        </is>
      </c>
      <c r="I14" s="35" t="n">
        <v>12</v>
      </c>
      <c r="J14" s="12" t="n">
        <v>5</v>
      </c>
      <c r="K14" s="35">
        <f>ROUNDUP(D14*J14, 0)+1</f>
        <v/>
      </c>
      <c r="L14" s="35">
        <f>C14*K14</f>
        <v/>
      </c>
      <c r="M14" s="12" t="inlineStr">
        <is>
          <t>حرف U مقلوب</t>
        </is>
      </c>
      <c r="N14" s="37">
        <f>F14-(2*G14/100)</f>
        <v/>
      </c>
      <c r="O14" s="37">
        <f>E14-(2*G14/100)</f>
        <v/>
      </c>
      <c r="P14" s="37">
        <f>F14-(2*G14/100)</f>
        <v/>
      </c>
      <c r="Q14" s="37">
        <f>2*2*(I14/1000)</f>
        <v/>
      </c>
      <c r="R14" s="38">
        <f>ROUND(N14+O14+P14-Q14, 2)</f>
        <v/>
      </c>
      <c r="S14" s="15">
        <f>L14*R14</f>
        <v/>
      </c>
      <c r="T14" s="13">
        <f>ROUND((I14^2)/162, 3)</f>
        <v/>
      </c>
      <c r="U14" s="39">
        <f>S14*T14</f>
        <v/>
      </c>
      <c r="V14" s="16">
        <f>U14/1000</f>
        <v/>
      </c>
      <c r="W14" s="36" t="inlineStr">
        <is>
          <t>يتم التثبيت على كراسي حديد Φ 16</t>
        </is>
      </c>
    </row>
    <row r="15" ht="22" customHeight="1">
      <c r="A15" s="20" t="n">
        <v>10</v>
      </c>
      <c r="B15" s="40" t="inlineStr">
        <is>
          <t>ق.م 1</t>
        </is>
      </c>
      <c r="C15" s="20" t="n">
        <v>2</v>
      </c>
      <c r="D15" s="20" t="n">
        <v>5.8</v>
      </c>
      <c r="E15" s="20" t="n">
        <v>2.8</v>
      </c>
      <c r="F15" s="20" t="n">
        <v>0.9</v>
      </c>
      <c r="G15" s="20" t="n">
        <v>7</v>
      </c>
      <c r="H15" s="41" t="inlineStr">
        <is>
          <t>سفلي رئيسي طولي</t>
        </is>
      </c>
      <c r="I15" s="40" t="n">
        <v>20</v>
      </c>
      <c r="J15" s="20" t="n">
        <v>8</v>
      </c>
      <c r="K15" s="40">
        <f>ROUNDUP(E15*J15, 0)+1</f>
        <v/>
      </c>
      <c r="L15" s="40">
        <f>C15*K15</f>
        <v/>
      </c>
      <c r="M15" s="20" t="inlineStr">
        <is>
          <t>حرف U برجلين</t>
        </is>
      </c>
      <c r="N15" s="42">
        <f>F15-(2*G15/100)</f>
        <v/>
      </c>
      <c r="O15" s="42">
        <f>D15-(2*G15/100)</f>
        <v/>
      </c>
      <c r="P15" s="42">
        <f>F15-(2*G15/100)</f>
        <v/>
      </c>
      <c r="Q15" s="42">
        <f>2*2*(I15/1000)</f>
        <v/>
      </c>
      <c r="R15" s="43">
        <f>ROUND(N15+O15+P15-Q15, 2)</f>
        <v/>
      </c>
      <c r="S15" s="23">
        <f>L15*R15</f>
        <v/>
      </c>
      <c r="T15" s="21">
        <f>ROUND((I15^2)/162, 3)</f>
        <v/>
      </c>
      <c r="U15" s="44">
        <f>S15*T15</f>
        <v/>
      </c>
      <c r="V15" s="24">
        <f>U15/1000</f>
        <v/>
      </c>
      <c r="W15" s="41" t="inlineStr">
        <is>
          <t>تثبيت مع شداد الجار</t>
        </is>
      </c>
    </row>
    <row r="16" ht="22" customHeight="1">
      <c r="A16" s="12" t="n">
        <v>11</v>
      </c>
      <c r="B16" s="35" t="inlineStr">
        <is>
          <t>ق.م 1</t>
        </is>
      </c>
      <c r="C16" s="12" t="n">
        <v>2</v>
      </c>
      <c r="D16" s="12" t="n">
        <v>5.8</v>
      </c>
      <c r="E16" s="12" t="n">
        <v>2.8</v>
      </c>
      <c r="F16" s="12" t="n">
        <v>0.9</v>
      </c>
      <c r="G16" s="12" t="n">
        <v>7</v>
      </c>
      <c r="H16" s="36" t="inlineStr">
        <is>
          <t>سفلي عرضي (غطاء)</t>
        </is>
      </c>
      <c r="I16" s="35" t="n">
        <v>16</v>
      </c>
      <c r="J16" s="12" t="n">
        <v>7</v>
      </c>
      <c r="K16" s="35">
        <f>ROUNDUP(D16*J16, 0)+1</f>
        <v/>
      </c>
      <c r="L16" s="35">
        <f>C16*K16</f>
        <v/>
      </c>
      <c r="M16" s="12" t="inlineStr">
        <is>
          <t>حرف U برجلين</t>
        </is>
      </c>
      <c r="N16" s="37">
        <f>F16-(2*G16/100)</f>
        <v/>
      </c>
      <c r="O16" s="37">
        <f>E16-(2*G16/100)</f>
        <v/>
      </c>
      <c r="P16" s="37">
        <f>F16-(2*G16/100)</f>
        <v/>
      </c>
      <c r="Q16" s="37">
        <f>2*2*(I16/1000)</f>
        <v/>
      </c>
      <c r="R16" s="38">
        <f>ROUND(N16+O16+P16-Q16, 2)</f>
        <v/>
      </c>
      <c r="S16" s="15">
        <f>L16*R16</f>
        <v/>
      </c>
      <c r="T16" s="13">
        <f>ROUND((I16^2)/162, 3)</f>
        <v/>
      </c>
      <c r="U16" s="39">
        <f>S16*T16</f>
        <v/>
      </c>
      <c r="V16" s="16">
        <f>U16/1000</f>
        <v/>
      </c>
      <c r="W16" s="36" t="inlineStr">
        <is>
          <t>تثبيت مع شداد الجار</t>
        </is>
      </c>
    </row>
    <row r="17" ht="22" customHeight="1">
      <c r="A17" s="20" t="n">
        <v>12</v>
      </c>
      <c r="B17" s="40" t="inlineStr">
        <is>
          <t>ق.م 1</t>
        </is>
      </c>
      <c r="C17" s="20" t="n">
        <v>2</v>
      </c>
      <c r="D17" s="20" t="n">
        <v>5.8</v>
      </c>
      <c r="E17" s="20" t="n">
        <v>2.8</v>
      </c>
      <c r="F17" s="20" t="n">
        <v>0.9</v>
      </c>
      <c r="G17" s="20" t="n">
        <v>7</v>
      </c>
      <c r="H17" s="41" t="inlineStr">
        <is>
          <t>علوي رئيسي طولي (شوك)</t>
        </is>
      </c>
      <c r="I17" s="40" t="n">
        <v>20</v>
      </c>
      <c r="J17" s="20" t="n">
        <v>8</v>
      </c>
      <c r="K17" s="40">
        <f>ROUNDUP(E17*J17, 0)+1</f>
        <v/>
      </c>
      <c r="L17" s="40">
        <f>C17*K17</f>
        <v/>
      </c>
      <c r="M17" s="20" t="inlineStr">
        <is>
          <t>حرف U برجلين</t>
        </is>
      </c>
      <c r="N17" s="42">
        <f>F17-(2*G17/100)</f>
        <v/>
      </c>
      <c r="O17" s="42">
        <f>D17-(2*G17/100)</f>
        <v/>
      </c>
      <c r="P17" s="42">
        <f>F17-(2*G17/100)</f>
        <v/>
      </c>
      <c r="Q17" s="42">
        <f>2*2*(I17/1000)</f>
        <v/>
      </c>
      <c r="R17" s="43">
        <f>ROUND(N17+O17+P17-Q17, 2)</f>
        <v/>
      </c>
      <c r="S17" s="23">
        <f>L17*R17</f>
        <v/>
      </c>
      <c r="T17" s="21">
        <f>ROUND((I17^2)/162, 3)</f>
        <v/>
      </c>
      <c r="U17" s="44">
        <f>S17*T17</f>
        <v/>
      </c>
      <c r="V17" s="24">
        <f>U17/1000</f>
        <v/>
      </c>
      <c r="W17" s="41" t="inlineStr">
        <is>
          <t>يتم التثبيت على كراسي حديد Φ 16</t>
        </is>
      </c>
    </row>
    <row r="18" ht="22" customHeight="1">
      <c r="A18" s="12" t="n">
        <v>13</v>
      </c>
      <c r="B18" s="35" t="inlineStr">
        <is>
          <t>ق.م 1</t>
        </is>
      </c>
      <c r="C18" s="12" t="n">
        <v>2</v>
      </c>
      <c r="D18" s="12" t="n">
        <v>5.8</v>
      </c>
      <c r="E18" s="12" t="n">
        <v>2.8</v>
      </c>
      <c r="F18" s="12" t="n">
        <v>0.9</v>
      </c>
      <c r="G18" s="12" t="n">
        <v>7</v>
      </c>
      <c r="H18" s="36" t="inlineStr">
        <is>
          <t>علوي عرضي</t>
        </is>
      </c>
      <c r="I18" s="35" t="n">
        <v>16</v>
      </c>
      <c r="J18" s="12" t="n">
        <v>6</v>
      </c>
      <c r="K18" s="35">
        <f>ROUNDUP(D18*J18, 0)+1</f>
        <v/>
      </c>
      <c r="L18" s="35">
        <f>C18*K18</f>
        <v/>
      </c>
      <c r="M18" s="12" t="inlineStr">
        <is>
          <t>حرف U برجلين</t>
        </is>
      </c>
      <c r="N18" s="37">
        <f>F18-(2*G18/100)</f>
        <v/>
      </c>
      <c r="O18" s="37">
        <f>E18-(2*G18/100)</f>
        <v/>
      </c>
      <c r="P18" s="37">
        <f>F18-(2*G18/100)</f>
        <v/>
      </c>
      <c r="Q18" s="37">
        <f>2*2*(I18/1000)</f>
        <v/>
      </c>
      <c r="R18" s="38">
        <f>ROUND(N18+O18+P18-Q18, 2)</f>
        <v/>
      </c>
      <c r="S18" s="15">
        <f>L18*R18</f>
        <v/>
      </c>
      <c r="T18" s="13">
        <f>ROUND((I18^2)/162, 3)</f>
        <v/>
      </c>
      <c r="U18" s="39">
        <f>S18*T18</f>
        <v/>
      </c>
      <c r="V18" s="16">
        <f>U18/1000</f>
        <v/>
      </c>
      <c r="W18" s="36" t="inlineStr">
        <is>
          <t>يتم التثبيت على كراسي حديد Φ 16</t>
        </is>
      </c>
    </row>
    <row r="19" ht="22" customHeight="1">
      <c r="A19" s="20" t="n">
        <v>14</v>
      </c>
      <c r="B19" s="40" t="inlineStr">
        <is>
          <t>ق.جار</t>
        </is>
      </c>
      <c r="C19" s="20" t="n">
        <v>4</v>
      </c>
      <c r="D19" s="20" t="n">
        <v>2.4</v>
      </c>
      <c r="E19" s="20" t="n">
        <v>1.8</v>
      </c>
      <c r="F19" s="20" t="n">
        <v>0.7</v>
      </c>
      <c r="G19" s="20" t="n">
        <v>5</v>
      </c>
      <c r="H19" s="41" t="inlineStr">
        <is>
          <t>فرش باتجاه الشداد</t>
        </is>
      </c>
      <c r="I19" s="40" t="n">
        <v>18</v>
      </c>
      <c r="J19" s="20" t="n">
        <v>7</v>
      </c>
      <c r="K19" s="40">
        <f>ROUNDUP(E19*J19, 0)+1</f>
        <v/>
      </c>
      <c r="L19" s="40">
        <f>C19*K19</f>
        <v/>
      </c>
      <c r="M19" s="20" t="inlineStr">
        <is>
          <t>حرف U برجلين</t>
        </is>
      </c>
      <c r="N19" s="42">
        <f>F19-(2*G19/100)</f>
        <v/>
      </c>
      <c r="O19" s="42">
        <f>D19-(2*G19/100)</f>
        <v/>
      </c>
      <c r="P19" s="42">
        <f>F19-(2*G19/100)</f>
        <v/>
      </c>
      <c r="Q19" s="42">
        <f>2*2*(I19/1000)</f>
        <v/>
      </c>
      <c r="R19" s="43">
        <f>ROUND(N19+O19+P19-Q19, 2)</f>
        <v/>
      </c>
      <c r="S19" s="23">
        <f>L19*R19</f>
        <v/>
      </c>
      <c r="T19" s="21">
        <f>ROUND((I19^2)/162, 3)</f>
        <v/>
      </c>
      <c r="U19" s="44">
        <f>S19*T19</f>
        <v/>
      </c>
      <c r="V19" s="24">
        <f>U19/1000</f>
        <v/>
      </c>
      <c r="W19" s="41" t="inlineStr">
        <is>
          <t>تثبيت مع شداد الجار</t>
        </is>
      </c>
    </row>
    <row r="20" ht="22" customHeight="1">
      <c r="A20" s="12" t="n">
        <v>15</v>
      </c>
      <c r="B20" s="35" t="inlineStr">
        <is>
          <t>ق.جار</t>
        </is>
      </c>
      <c r="C20" s="12" t="n">
        <v>4</v>
      </c>
      <c r="D20" s="12" t="n">
        <v>2.4</v>
      </c>
      <c r="E20" s="12" t="n">
        <v>1.8</v>
      </c>
      <c r="F20" s="12" t="n">
        <v>0.7</v>
      </c>
      <c r="G20" s="12" t="n">
        <v>5</v>
      </c>
      <c r="H20" s="36" t="inlineStr">
        <is>
          <t>غطاء عرضي</t>
        </is>
      </c>
      <c r="I20" s="35" t="n">
        <v>16</v>
      </c>
      <c r="J20" s="12" t="n">
        <v>6</v>
      </c>
      <c r="K20" s="35">
        <f>ROUNDUP(D20*J20, 0)+1</f>
        <v/>
      </c>
      <c r="L20" s="35">
        <f>C20*K20</f>
        <v/>
      </c>
      <c r="M20" s="12" t="inlineStr">
        <is>
          <t>حرف U برجلين</t>
        </is>
      </c>
      <c r="N20" s="37">
        <f>F20-(2*G20/100)</f>
        <v/>
      </c>
      <c r="O20" s="37">
        <f>E20-(2*G20/100)</f>
        <v/>
      </c>
      <c r="P20" s="37">
        <f>F20-(2*G20/100)</f>
        <v/>
      </c>
      <c r="Q20" s="37">
        <f>2*2*(I20/1000)</f>
        <v/>
      </c>
      <c r="R20" s="38">
        <f>ROUND(N20+O20+P20-Q20, 2)</f>
        <v/>
      </c>
      <c r="S20" s="15">
        <f>L20*R20</f>
        <v/>
      </c>
      <c r="T20" s="13">
        <f>ROUND((I20^2)/162, 3)</f>
        <v/>
      </c>
      <c r="U20" s="39">
        <f>S20*T20</f>
        <v/>
      </c>
      <c r="V20" s="16">
        <f>U20/1000</f>
        <v/>
      </c>
      <c r="W20" s="36" t="inlineStr">
        <is>
          <t>تثبيت مع شداد الجار</t>
        </is>
      </c>
    </row>
    <row r="21" ht="26" customHeight="1">
      <c r="A21" s="28" t="inlineStr">
        <is>
          <t>الإجمالي الكلي لحديد القواعد المسلحة</t>
        </is>
      </c>
      <c r="B21" s="28" t="n"/>
      <c r="C21" s="28" t="n"/>
      <c r="D21" s="28" t="n"/>
      <c r="E21" s="28" t="n"/>
      <c r="F21" s="28" t="n"/>
      <c r="G21" s="28" t="n"/>
      <c r="H21" s="28" t="n"/>
      <c r="I21" s="28" t="n"/>
      <c r="J21" s="28" t="n"/>
      <c r="K21" s="28" t="n"/>
      <c r="L21" s="31">
        <f>SUM(L6:L20)</f>
        <v/>
      </c>
      <c r="M21" s="28" t="n"/>
      <c r="N21" s="28" t="n"/>
      <c r="O21" s="28" t="n"/>
      <c r="P21" s="28" t="n"/>
      <c r="Q21" s="28" t="n"/>
      <c r="R21" s="28" t="n"/>
      <c r="S21" s="29">
        <f>SUM(S6:S20)</f>
        <v/>
      </c>
      <c r="T21" s="28" t="n"/>
      <c r="U21" s="45">
        <f>SUM(U6:U20)</f>
        <v/>
      </c>
      <c r="V21" s="30">
        <f>SUM(V6:V20)</f>
        <v/>
      </c>
      <c r="W21" s="28" t="n"/>
    </row>
  </sheetData>
  <mergeCells count="22">
    <mergeCell ref="R4:R5"/>
    <mergeCell ref="C4:C5"/>
    <mergeCell ref="T4:T5"/>
    <mergeCell ref="V4:V5"/>
    <mergeCell ref="A1:W1"/>
    <mergeCell ref="Q4:Q5"/>
    <mergeCell ref="D4:F4"/>
    <mergeCell ref="J4:J5"/>
    <mergeCell ref="L4:L5"/>
    <mergeCell ref="A21:K21"/>
    <mergeCell ref="A4:A5"/>
    <mergeCell ref="G4:G5"/>
    <mergeCell ref="I4:I5"/>
    <mergeCell ref="K4:K5"/>
    <mergeCell ref="S4:S5"/>
    <mergeCell ref="U4:U5"/>
    <mergeCell ref="N4:P4"/>
    <mergeCell ref="A2:W2"/>
    <mergeCell ref="M4:M5"/>
    <mergeCell ref="B4:B5"/>
    <mergeCell ref="W4:W5"/>
    <mergeCell ref="H4:H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22"/>
  <sheetViews>
    <sheetView showGridLines="1" rightToLeft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0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8" customWidth="1" min="9" max="9"/>
    <col width="12" customWidth="1" min="10" max="10"/>
    <col width="12" customWidth="1" min="11" max="11"/>
    <col width="13" customWidth="1" min="12" max="12"/>
    <col width="15" customWidth="1" min="13" max="13"/>
    <col width="13" customWidth="1" min="14" max="14"/>
    <col width="15" customWidth="1" min="15" max="15"/>
    <col width="14" customWidth="1" min="16" max="16"/>
    <col width="9" customWidth="1" min="17" max="17"/>
    <col width="9" customWidth="1" min="18" max="18"/>
    <col width="12" customWidth="1" min="19" max="19"/>
    <col width="22" customWidth="1" min="20" max="20"/>
  </cols>
  <sheetData>
    <row r="1" ht="36" customHeight="1">
      <c r="A1" s="1" t="inlineStr">
        <is>
          <t>جدول تفريد وحصر حديد الشدادات والسملات والميد (Strap &amp; Tie Beams BBS)</t>
        </is>
      </c>
    </row>
    <row r="2" ht="22" customHeight="1">
      <c r="A2" s="33" t="inlineStr">
        <is>
          <t>حساب تسليح العزوم العلوية للشدادات + حديد الميد السفلي والعلوي + الكانات المقفولة وبراندات الانكماش الجانبية</t>
        </is>
      </c>
    </row>
    <row r="4" ht="24" customHeight="1">
      <c r="A4" s="11" t="inlineStr">
        <is>
          <t>م</t>
        </is>
      </c>
      <c r="B4" s="11" t="inlineStr">
        <is>
          <t>كود الشداد / الميدة</t>
        </is>
      </c>
      <c r="C4" s="11" t="inlineStr">
        <is>
          <t>العدد المتكرر</t>
        </is>
      </c>
      <c r="D4" s="11" t="inlineStr">
        <is>
          <t>أبعاد الشداد الخرسانية (م)</t>
        </is>
      </c>
      <c r="E4" s="6" t="n"/>
      <c r="F4" s="6" t="n"/>
      <c r="G4" s="11" t="inlineStr">
        <is>
          <t>الغطاء (سم)</t>
        </is>
      </c>
      <c r="H4" s="11" t="inlineStr">
        <is>
          <t>القطر Φ (ملم)</t>
        </is>
      </c>
      <c r="I4" s="11" t="inlineStr">
        <is>
          <t>موضع وطبقة التسليح</t>
        </is>
      </c>
      <c r="J4" s="11" t="inlineStr">
        <is>
          <t>الأسياخ بالمقطع</t>
        </is>
      </c>
      <c r="K4" s="11" t="inlineStr">
        <is>
          <t>إجمالي الأسياخ</t>
        </is>
      </c>
      <c r="L4" s="11" t="inlineStr">
        <is>
          <t>طول القطعية (م)</t>
        </is>
      </c>
      <c r="M4" s="11" t="inlineStr">
        <is>
          <t>إجمالي الأطوال (م)</t>
        </is>
      </c>
      <c r="N4" s="11" t="inlineStr">
        <is>
          <t>وزن المتر (كجم/م)</t>
        </is>
      </c>
      <c r="O4" s="11" t="inlineStr">
        <is>
          <t>الوزن الكلي (كجم)</t>
        </is>
      </c>
      <c r="P4" s="11" t="inlineStr">
        <is>
          <t>الوزن الكلي (طن)</t>
        </is>
      </c>
      <c r="Q4" s="11" t="inlineStr">
        <is>
          <t>تفاصيل الكانات وفروعها</t>
        </is>
      </c>
      <c r="R4" s="6" t="n"/>
      <c r="S4" s="6" t="n"/>
      <c r="T4" s="11" t="inlineStr">
        <is>
          <t>الملاحظات وتفاصيل التماسك Ld</t>
        </is>
      </c>
      <c r="U4" s="6" t="n"/>
      <c r="V4" s="6" t="n"/>
    </row>
    <row r="5" ht="24" customHeight="1">
      <c r="A5" s="6" t="n"/>
      <c r="B5" s="6" t="n"/>
      <c r="C5" s="6" t="n"/>
      <c r="D5" s="34" t="inlineStr">
        <is>
          <t>طول Ln</t>
        </is>
      </c>
      <c r="E5" s="34" t="inlineStr">
        <is>
          <t>عرض b</t>
        </is>
      </c>
      <c r="F5" s="34" t="inlineStr">
        <is>
          <t>عمق t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34" t="inlineStr">
        <is>
          <t>عدد الفروع</t>
        </is>
      </c>
      <c r="R5" s="34" t="inlineStr">
        <is>
          <t>الخطوة / م</t>
        </is>
      </c>
      <c r="S5" s="34" t="inlineStr">
        <is>
          <t>محيط الكانة (م)</t>
        </is>
      </c>
      <c r="T5" s="6" t="n"/>
      <c r="U5" s="6" t="n"/>
      <c r="V5" s="6" t="n"/>
    </row>
    <row r="6" ht="22" customHeight="1">
      <c r="A6" s="12" t="n">
        <v>1</v>
      </c>
      <c r="B6" s="35" t="inlineStr">
        <is>
          <t>شداد ش1</t>
        </is>
      </c>
      <c r="C6" s="12" t="n">
        <v>4</v>
      </c>
      <c r="D6" s="12" t="n">
        <v>6.5</v>
      </c>
      <c r="E6" s="12" t="n">
        <v>0.4</v>
      </c>
      <c r="F6" s="12" t="n">
        <v>1</v>
      </c>
      <c r="G6" s="12" t="n">
        <v>5</v>
      </c>
      <c r="H6" s="35" t="n">
        <v>22</v>
      </c>
      <c r="I6" s="36" t="inlineStr">
        <is>
          <t>علوي رئيسي (عزم شداد)</t>
        </is>
      </c>
      <c r="J6" s="12" t="n">
        <v>8</v>
      </c>
      <c r="K6" s="35">
        <f>C6*J6</f>
        <v/>
      </c>
      <c r="L6" s="38">
        <f>D6+2*(F6-0.10)+1.20</f>
        <v/>
      </c>
      <c r="M6" s="15">
        <f>K6*L6</f>
        <v/>
      </c>
      <c r="N6" s="13">
        <f>ROUND((H6^2)/162, 3)</f>
        <v/>
      </c>
      <c r="O6" s="39">
        <f>M6*N6</f>
        <v/>
      </c>
      <c r="P6" s="16">
        <f>O6/1000</f>
        <v/>
      </c>
      <c r="Q6" s="12" t="inlineStr">
        <is>
          <t>-</t>
        </is>
      </c>
      <c r="R6" s="12" t="inlineStr">
        <is>
          <t>-</t>
        </is>
      </c>
      <c r="S6" s="12" t="inlineStr">
        <is>
          <t>-</t>
        </is>
      </c>
      <c r="T6" s="36" t="inlineStr">
        <is>
          <t>يمتد بكامل طول قاعدة الجار برجل قائمة</t>
        </is>
      </c>
      <c r="U6" s="46" t="n"/>
      <c r="V6" s="46" t="n"/>
    </row>
    <row r="7" ht="22" customHeight="1">
      <c r="A7" s="20" t="n">
        <v>2</v>
      </c>
      <c r="B7" s="40" t="inlineStr">
        <is>
          <t>شداد ش1</t>
        </is>
      </c>
      <c r="C7" s="20" t="n">
        <v>4</v>
      </c>
      <c r="D7" s="20" t="n">
        <v>6.5</v>
      </c>
      <c r="E7" s="20" t="n">
        <v>0.4</v>
      </c>
      <c r="F7" s="20" t="n">
        <v>1</v>
      </c>
      <c r="G7" s="20" t="n">
        <v>5</v>
      </c>
      <c r="H7" s="40" t="n">
        <v>16</v>
      </c>
      <c r="I7" s="41" t="inlineStr">
        <is>
          <t>سفلي تعليق وتثبيت</t>
        </is>
      </c>
      <c r="J7" s="20" t="n">
        <v>4</v>
      </c>
      <c r="K7" s="40">
        <f>C7*J7</f>
        <v/>
      </c>
      <c r="L7" s="43">
        <f>D6+0.80</f>
        <v/>
      </c>
      <c r="M7" s="23">
        <f>K7*L7</f>
        <v/>
      </c>
      <c r="N7" s="21">
        <f>ROUND((H7^2)/162, 3)</f>
        <v/>
      </c>
      <c r="O7" s="44">
        <f>M7*N7</f>
        <v/>
      </c>
      <c r="P7" s="24">
        <f>O7/1000</f>
        <v/>
      </c>
      <c r="Q7" s="20" t="inlineStr">
        <is>
          <t>-</t>
        </is>
      </c>
      <c r="R7" s="20" t="inlineStr">
        <is>
          <t>-</t>
        </is>
      </c>
      <c r="S7" s="20" t="inlineStr">
        <is>
          <t>-</t>
        </is>
      </c>
      <c r="T7" s="41" t="inlineStr">
        <is>
          <t>يمتد مسافة تماسك Ld داخل القواعد</t>
        </is>
      </c>
      <c r="U7" s="47" t="n"/>
      <c r="V7" s="47" t="n"/>
    </row>
    <row r="8" ht="22" customHeight="1">
      <c r="A8" s="12" t="n">
        <v>3</v>
      </c>
      <c r="B8" s="35" t="inlineStr">
        <is>
          <t>شداد ش1</t>
        </is>
      </c>
      <c r="C8" s="12" t="n">
        <v>4</v>
      </c>
      <c r="D8" s="12" t="n">
        <v>6.5</v>
      </c>
      <c r="E8" s="12" t="n">
        <v>0.4</v>
      </c>
      <c r="F8" s="12" t="n">
        <v>1</v>
      </c>
      <c r="G8" s="12" t="n">
        <v>5</v>
      </c>
      <c r="H8" s="35" t="n">
        <v>12</v>
      </c>
      <c r="I8" s="36" t="inlineStr">
        <is>
          <t>براندات جانبية انكماش</t>
        </is>
      </c>
      <c r="J8" s="12" t="n">
        <v>6</v>
      </c>
      <c r="K8" s="35">
        <f>C8*J8</f>
        <v/>
      </c>
      <c r="L8" s="38">
        <f>D6+0.60</f>
        <v/>
      </c>
      <c r="M8" s="15">
        <f>K8*L8</f>
        <v/>
      </c>
      <c r="N8" s="13">
        <f>ROUND((H8^2)/162, 3)</f>
        <v/>
      </c>
      <c r="O8" s="39">
        <f>M8*N8</f>
        <v/>
      </c>
      <c r="P8" s="16">
        <f>O8/1000</f>
        <v/>
      </c>
      <c r="Q8" s="12" t="inlineStr">
        <is>
          <t>-</t>
        </is>
      </c>
      <c r="R8" s="12" t="inlineStr">
        <is>
          <t>-</t>
        </is>
      </c>
      <c r="S8" s="12" t="inlineStr">
        <is>
          <t>-</t>
        </is>
      </c>
      <c r="T8" s="36" t="inlineStr">
        <is>
          <t>توضع كل 30 سم على جانبي الشداد</t>
        </is>
      </c>
      <c r="U8" s="46" t="n"/>
      <c r="V8" s="46" t="n"/>
    </row>
    <row r="9" ht="22" customHeight="1">
      <c r="A9" s="20" t="n">
        <v>4</v>
      </c>
      <c r="B9" s="40" t="inlineStr">
        <is>
          <t>شداد ش1</t>
        </is>
      </c>
      <c r="C9" s="20" t="n">
        <v>4</v>
      </c>
      <c r="D9" s="20" t="n">
        <v>6.5</v>
      </c>
      <c r="E9" s="20" t="n">
        <v>0.4</v>
      </c>
      <c r="F9" s="20" t="n">
        <v>1</v>
      </c>
      <c r="G9" s="20" t="n">
        <v>5</v>
      </c>
      <c r="H9" s="40" t="n">
        <v>10</v>
      </c>
      <c r="I9" s="41" t="inlineStr">
        <is>
          <t>كانات أوتوماتيك مقفولة</t>
        </is>
      </c>
      <c r="J9" s="20">
        <f>ROUNDUP(D6*8, 0)+2</f>
        <v/>
      </c>
      <c r="K9" s="40">
        <f>C9*J9</f>
        <v/>
      </c>
      <c r="L9" s="43">
        <f>2*(E6-0.10)+2*(F6-0.10)+0.20</f>
        <v/>
      </c>
      <c r="M9" s="23">
        <f>K9*L9</f>
        <v/>
      </c>
      <c r="N9" s="21">
        <f>ROUND((H9^2)/162, 3)</f>
        <v/>
      </c>
      <c r="O9" s="44">
        <f>M9*N9</f>
        <v/>
      </c>
      <c r="P9" s="24">
        <f>O9/1000</f>
        <v/>
      </c>
      <c r="Q9" s="20" t="n">
        <v>4</v>
      </c>
      <c r="R9" s="20" t="inlineStr">
        <is>
          <t>8 كانات / م</t>
        </is>
      </c>
      <c r="S9" s="42">
        <f>2*(E6-0.10)+2*(F6-0.10)+0.20</f>
        <v/>
      </c>
      <c r="T9" s="41" t="inlineStr">
        <is>
          <t>تكثيف الكانات بالكامل وقفل 10Φ تبادلي</t>
        </is>
      </c>
      <c r="U9" s="47" t="n"/>
      <c r="V9" s="47" t="n"/>
    </row>
    <row r="10" ht="22" customHeight="1">
      <c r="A10" s="12" t="n">
        <v>5</v>
      </c>
      <c r="B10" s="35" t="inlineStr">
        <is>
          <t>شداد ش2</t>
        </is>
      </c>
      <c r="C10" s="12" t="n">
        <v>2</v>
      </c>
      <c r="D10" s="12" t="n">
        <v>7.8</v>
      </c>
      <c r="E10" s="12" t="n">
        <v>0.5</v>
      </c>
      <c r="F10" s="12" t="n">
        <v>1.2</v>
      </c>
      <c r="G10" s="12" t="n">
        <v>5</v>
      </c>
      <c r="H10" s="35" t="n">
        <v>25</v>
      </c>
      <c r="I10" s="36" t="inlineStr">
        <is>
          <t>علوي رئيسي (عزم شداد)</t>
        </is>
      </c>
      <c r="J10" s="12" t="n">
        <v>10</v>
      </c>
      <c r="K10" s="35">
        <f>C10*J10</f>
        <v/>
      </c>
      <c r="L10" s="38">
        <f>D10+2*(F10-0.10)+1.40</f>
        <v/>
      </c>
      <c r="M10" s="15">
        <f>K10*L10</f>
        <v/>
      </c>
      <c r="N10" s="13">
        <f>ROUND((H10^2)/162, 3)</f>
        <v/>
      </c>
      <c r="O10" s="39">
        <f>M10*N10</f>
        <v/>
      </c>
      <c r="P10" s="16">
        <f>O10/1000</f>
        <v/>
      </c>
      <c r="Q10" s="12" t="inlineStr">
        <is>
          <t>-</t>
        </is>
      </c>
      <c r="R10" s="12" t="inlineStr">
        <is>
          <t>-</t>
        </is>
      </c>
      <c r="S10" s="12" t="inlineStr">
        <is>
          <t>-</t>
        </is>
      </c>
      <c r="T10" s="36" t="inlineStr">
        <is>
          <t>تسليح رئيسي لتحمل عزم فرق الهبوط</t>
        </is>
      </c>
      <c r="U10" s="46" t="n"/>
      <c r="V10" s="46" t="n"/>
    </row>
    <row r="11" ht="22" customHeight="1">
      <c r="A11" s="20" t="n">
        <v>6</v>
      </c>
      <c r="B11" s="40" t="inlineStr">
        <is>
          <t>شداد ش2</t>
        </is>
      </c>
      <c r="C11" s="20" t="n">
        <v>2</v>
      </c>
      <c r="D11" s="20" t="n">
        <v>7.8</v>
      </c>
      <c r="E11" s="20" t="n">
        <v>0.5</v>
      </c>
      <c r="F11" s="20" t="n">
        <v>1.2</v>
      </c>
      <c r="G11" s="20" t="n">
        <v>5</v>
      </c>
      <c r="H11" s="40" t="n">
        <v>18</v>
      </c>
      <c r="I11" s="41" t="inlineStr">
        <is>
          <t>سفلي إضافي</t>
        </is>
      </c>
      <c r="J11" s="20" t="n">
        <v>4</v>
      </c>
      <c r="K11" s="40">
        <f>C11*J11</f>
        <v/>
      </c>
      <c r="L11" s="43">
        <f>D10+0.90</f>
        <v/>
      </c>
      <c r="M11" s="23">
        <f>K11*L11</f>
        <v/>
      </c>
      <c r="N11" s="21">
        <f>ROUND((H11^2)/162, 3)</f>
        <v/>
      </c>
      <c r="O11" s="44">
        <f>M11*N11</f>
        <v/>
      </c>
      <c r="P11" s="24">
        <f>O11/1000</f>
        <v/>
      </c>
      <c r="Q11" s="20" t="inlineStr">
        <is>
          <t>-</t>
        </is>
      </c>
      <c r="R11" s="20" t="inlineStr">
        <is>
          <t>-</t>
        </is>
      </c>
      <c r="S11" s="20" t="inlineStr">
        <is>
          <t>-</t>
        </is>
      </c>
      <c r="T11" s="41" t="inlineStr">
        <is>
          <t>يمتد Ld كاملة داخل القاعدة الداخلية</t>
        </is>
      </c>
      <c r="U11" s="47" t="n"/>
      <c r="V11" s="47" t="n"/>
    </row>
    <row r="12" ht="22" customHeight="1">
      <c r="A12" s="12" t="n">
        <v>7</v>
      </c>
      <c r="B12" s="35" t="inlineStr">
        <is>
          <t>شداد ش2</t>
        </is>
      </c>
      <c r="C12" s="12" t="n">
        <v>2</v>
      </c>
      <c r="D12" s="12" t="n">
        <v>7.8</v>
      </c>
      <c r="E12" s="12" t="n">
        <v>0.5</v>
      </c>
      <c r="F12" s="12" t="n">
        <v>1.2</v>
      </c>
      <c r="G12" s="12" t="n">
        <v>5</v>
      </c>
      <c r="H12" s="35" t="n">
        <v>12</v>
      </c>
      <c r="I12" s="36" t="inlineStr">
        <is>
          <t>براندات جانبية انكماش</t>
        </is>
      </c>
      <c r="J12" s="12" t="n">
        <v>8</v>
      </c>
      <c r="K12" s="35">
        <f>C12*J12</f>
        <v/>
      </c>
      <c r="L12" s="38">
        <f>D10+0.60</f>
        <v/>
      </c>
      <c r="M12" s="15">
        <f>K12*L12</f>
        <v/>
      </c>
      <c r="N12" s="13">
        <f>ROUND((H12^2)/162, 3)</f>
        <v/>
      </c>
      <c r="O12" s="39">
        <f>M12*N12</f>
        <v/>
      </c>
      <c r="P12" s="16">
        <f>O12/1000</f>
        <v/>
      </c>
      <c r="Q12" s="12" t="inlineStr">
        <is>
          <t>-</t>
        </is>
      </c>
      <c r="R12" s="12" t="inlineStr">
        <is>
          <t>-</t>
        </is>
      </c>
      <c r="S12" s="12" t="inlineStr">
        <is>
          <t>-</t>
        </is>
      </c>
      <c r="T12" s="36" t="inlineStr">
        <is>
          <t>براندات كل 25 سم لعمق 1.20 م</t>
        </is>
      </c>
      <c r="U12" s="46" t="n"/>
      <c r="V12" s="46" t="n"/>
    </row>
    <row r="13" ht="22" customHeight="1">
      <c r="A13" s="20" t="n">
        <v>8</v>
      </c>
      <c r="B13" s="40" t="inlineStr">
        <is>
          <t>شداد ش2</t>
        </is>
      </c>
      <c r="C13" s="20" t="n">
        <v>2</v>
      </c>
      <c r="D13" s="20" t="n">
        <v>7.8</v>
      </c>
      <c r="E13" s="20" t="n">
        <v>0.5</v>
      </c>
      <c r="F13" s="20" t="n">
        <v>1.2</v>
      </c>
      <c r="G13" s="20" t="n">
        <v>5</v>
      </c>
      <c r="H13" s="40" t="n">
        <v>10</v>
      </c>
      <c r="I13" s="41" t="inlineStr">
        <is>
          <t>كانات 4 فروع مقفولة</t>
        </is>
      </c>
      <c r="J13" s="20">
        <f>ROUNDUP(D10*9, 0)+2</f>
        <v/>
      </c>
      <c r="K13" s="40">
        <f>C13*J13</f>
        <v/>
      </c>
      <c r="L13" s="43">
        <f>2*(E10-0.10)+2*(F10-0.10)+0.25</f>
        <v/>
      </c>
      <c r="M13" s="23">
        <f>K13*L13</f>
        <v/>
      </c>
      <c r="N13" s="21">
        <f>ROUND((H13^2)/162, 3)</f>
        <v/>
      </c>
      <c r="O13" s="44">
        <f>M13*N13</f>
        <v/>
      </c>
      <c r="P13" s="24">
        <f>O13/1000</f>
        <v/>
      </c>
      <c r="Q13" s="20" t="n">
        <v>4</v>
      </c>
      <c r="R13" s="20" t="inlineStr">
        <is>
          <t>9 كانات / م</t>
        </is>
      </c>
      <c r="S13" s="42">
        <f>2*(E10-0.10)+2*(F10-0.10)+0.25</f>
        <v/>
      </c>
      <c r="T13" s="41" t="inlineStr">
        <is>
          <t>كانة 4 فروع صندوق + حباية</t>
        </is>
      </c>
      <c r="U13" s="47" t="n"/>
      <c r="V13" s="47" t="n"/>
    </row>
    <row r="14" ht="22" customHeight="1">
      <c r="A14" s="12" t="n">
        <v>9</v>
      </c>
      <c r="B14" s="35" t="inlineStr">
        <is>
          <t>ميدة م1</t>
        </is>
      </c>
      <c r="C14" s="12" t="n">
        <v>12</v>
      </c>
      <c r="D14" s="12" t="n">
        <v>5</v>
      </c>
      <c r="E14" s="12" t="n">
        <v>0.3</v>
      </c>
      <c r="F14" s="12" t="n">
        <v>0.6</v>
      </c>
      <c r="G14" s="12" t="n">
        <v>5</v>
      </c>
      <c r="H14" s="35" t="n">
        <v>16</v>
      </c>
      <c r="I14" s="36" t="inlineStr">
        <is>
          <t>سفلي رئيسي مستمر</t>
        </is>
      </c>
      <c r="J14" s="12" t="n">
        <v>4</v>
      </c>
      <c r="K14" s="35">
        <f>C14*J14</f>
        <v/>
      </c>
      <c r="L14" s="38">
        <f>D14+0.80</f>
        <v/>
      </c>
      <c r="M14" s="15">
        <f>K14*L14</f>
        <v/>
      </c>
      <c r="N14" s="13">
        <f>ROUND((H14^2)/162, 3)</f>
        <v/>
      </c>
      <c r="O14" s="39">
        <f>M14*N14</f>
        <v/>
      </c>
      <c r="P14" s="16">
        <f>O14/1000</f>
        <v/>
      </c>
      <c r="Q14" s="12" t="inlineStr">
        <is>
          <t>-</t>
        </is>
      </c>
      <c r="R14" s="12" t="inlineStr">
        <is>
          <t>-</t>
        </is>
      </c>
      <c r="S14" s="12" t="inlineStr">
        <is>
          <t>-</t>
        </is>
      </c>
      <c r="T14" s="36" t="inlineStr">
        <is>
          <t>ربط القواعد المنفصلة ومقاومة الهبوط</t>
        </is>
      </c>
      <c r="U14" s="46" t="n"/>
      <c r="V14" s="46" t="n"/>
    </row>
    <row r="15" ht="22" customHeight="1">
      <c r="A15" s="20" t="n">
        <v>10</v>
      </c>
      <c r="B15" s="40" t="inlineStr">
        <is>
          <t>ميدة م1</t>
        </is>
      </c>
      <c r="C15" s="20" t="n">
        <v>12</v>
      </c>
      <c r="D15" s="20" t="n">
        <v>5</v>
      </c>
      <c r="E15" s="20" t="n">
        <v>0.3</v>
      </c>
      <c r="F15" s="20" t="n">
        <v>0.6</v>
      </c>
      <c r="G15" s="20" t="n">
        <v>5</v>
      </c>
      <c r="H15" s="40" t="n">
        <v>16</v>
      </c>
      <c r="I15" s="41" t="inlineStr">
        <is>
          <t>علوي رئيسي</t>
        </is>
      </c>
      <c r="J15" s="20" t="n">
        <v>4</v>
      </c>
      <c r="K15" s="40">
        <f>C15*J15</f>
        <v/>
      </c>
      <c r="L15" s="43">
        <f>D14+0.80</f>
        <v/>
      </c>
      <c r="M15" s="23">
        <f>K15*L15</f>
        <v/>
      </c>
      <c r="N15" s="21">
        <f>ROUND((H15^2)/162, 3)</f>
        <v/>
      </c>
      <c r="O15" s="44">
        <f>M15*N15</f>
        <v/>
      </c>
      <c r="P15" s="24">
        <f>O15/1000</f>
        <v/>
      </c>
      <c r="Q15" s="20" t="inlineStr">
        <is>
          <t>-</t>
        </is>
      </c>
      <c r="R15" s="20" t="inlineStr">
        <is>
          <t>-</t>
        </is>
      </c>
      <c r="S15" s="20" t="inlineStr">
        <is>
          <t>-</t>
        </is>
      </c>
      <c r="T15" s="41" t="inlineStr">
        <is>
          <t>أرجل قائمة داخل القواعد</t>
        </is>
      </c>
      <c r="U15" s="47" t="n"/>
      <c r="V15" s="47" t="n"/>
    </row>
    <row r="16" ht="22" customHeight="1">
      <c r="A16" s="12" t="n">
        <v>11</v>
      </c>
      <c r="B16" s="35" t="inlineStr">
        <is>
          <t>ميدة م1</t>
        </is>
      </c>
      <c r="C16" s="12" t="n">
        <v>12</v>
      </c>
      <c r="D16" s="12" t="n">
        <v>5</v>
      </c>
      <c r="E16" s="12" t="n">
        <v>0.3</v>
      </c>
      <c r="F16" s="12" t="n">
        <v>0.6</v>
      </c>
      <c r="G16" s="12" t="n">
        <v>5</v>
      </c>
      <c r="H16" s="35" t="n">
        <v>10</v>
      </c>
      <c r="I16" s="36" t="inlineStr">
        <is>
          <t>براندات انكماش</t>
        </is>
      </c>
      <c r="J16" s="12" t="n">
        <v>2</v>
      </c>
      <c r="K16" s="35">
        <f>C16*J16</f>
        <v/>
      </c>
      <c r="L16" s="38">
        <f>D14+0.50</f>
        <v/>
      </c>
      <c r="M16" s="15">
        <f>K16*L16</f>
        <v/>
      </c>
      <c r="N16" s="13">
        <f>ROUND((H16^2)/162, 3)</f>
        <v/>
      </c>
      <c r="O16" s="39">
        <f>M16*N16</f>
        <v/>
      </c>
      <c r="P16" s="16">
        <f>O16/1000</f>
        <v/>
      </c>
      <c r="Q16" s="12" t="inlineStr">
        <is>
          <t>-</t>
        </is>
      </c>
      <c r="R16" s="12" t="inlineStr">
        <is>
          <t>-</t>
        </is>
      </c>
      <c r="S16" s="12" t="inlineStr">
        <is>
          <t>-</t>
        </is>
      </c>
      <c r="T16" s="36" t="inlineStr">
        <is>
          <t>براندة واحدة بكل جهة</t>
        </is>
      </c>
      <c r="U16" s="46" t="n"/>
      <c r="V16" s="46" t="n"/>
    </row>
    <row r="17" ht="22" customHeight="1">
      <c r="A17" s="20" t="n">
        <v>12</v>
      </c>
      <c r="B17" s="40" t="inlineStr">
        <is>
          <t>ميدة م1</t>
        </is>
      </c>
      <c r="C17" s="20" t="n">
        <v>12</v>
      </c>
      <c r="D17" s="20" t="n">
        <v>5</v>
      </c>
      <c r="E17" s="20" t="n">
        <v>0.3</v>
      </c>
      <c r="F17" s="20" t="n">
        <v>0.6</v>
      </c>
      <c r="G17" s="20" t="n">
        <v>5</v>
      </c>
      <c r="H17" s="40" t="n">
        <v>8</v>
      </c>
      <c r="I17" s="41" t="inlineStr">
        <is>
          <t>كانات صندوقية 2 فرع</t>
        </is>
      </c>
      <c r="J17" s="20">
        <f>ROUNDUP(D14*6, 0)+1</f>
        <v/>
      </c>
      <c r="K17" s="40">
        <f>C17*J17</f>
        <v/>
      </c>
      <c r="L17" s="43">
        <f>2*(E14-0.10)+2*(F14-0.10)+0.16</f>
        <v/>
      </c>
      <c r="M17" s="23">
        <f>K17*L17</f>
        <v/>
      </c>
      <c r="N17" s="21">
        <f>ROUND((H17^2)/162, 3)</f>
        <v/>
      </c>
      <c r="O17" s="44">
        <f>M17*N17</f>
        <v/>
      </c>
      <c r="P17" s="24">
        <f>O17/1000</f>
        <v/>
      </c>
      <c r="Q17" s="20" t="n">
        <v>2</v>
      </c>
      <c r="R17" s="20" t="inlineStr">
        <is>
          <t>6 كانات / م</t>
        </is>
      </c>
      <c r="S17" s="42">
        <f>2*(E14-0.10)+2*(F14-0.10)+0.16</f>
        <v/>
      </c>
      <c r="T17" s="41" t="inlineStr">
        <is>
          <t>كانة مغلقة بقفل 135 درجة</t>
        </is>
      </c>
      <c r="U17" s="47" t="n"/>
      <c r="V17" s="47" t="n"/>
    </row>
    <row r="18" ht="22" customHeight="1">
      <c r="A18" s="12" t="n">
        <v>13</v>
      </c>
      <c r="B18" s="35" t="inlineStr">
        <is>
          <t>ميدة م2</t>
        </is>
      </c>
      <c r="C18" s="12" t="n">
        <v>8</v>
      </c>
      <c r="D18" s="12" t="n">
        <v>6.2</v>
      </c>
      <c r="E18" s="12" t="n">
        <v>0.3</v>
      </c>
      <c r="F18" s="12" t="n">
        <v>0.7</v>
      </c>
      <c r="G18" s="12" t="n">
        <v>5</v>
      </c>
      <c r="H18" s="35" t="n">
        <v>16</v>
      </c>
      <c r="I18" s="36" t="inlineStr">
        <is>
          <t>سفلي رئيسي</t>
        </is>
      </c>
      <c r="J18" s="12" t="n">
        <v>4</v>
      </c>
      <c r="K18" s="35">
        <f>C18*J18</f>
        <v/>
      </c>
      <c r="L18" s="38">
        <f>D18+0.85</f>
        <v/>
      </c>
      <c r="M18" s="15">
        <f>K18*L18</f>
        <v/>
      </c>
      <c r="N18" s="13">
        <f>ROUND((H18^2)/162, 3)</f>
        <v/>
      </c>
      <c r="O18" s="39">
        <f>M18*N18</f>
        <v/>
      </c>
      <c r="P18" s="16">
        <f>O18/1000</f>
        <v/>
      </c>
      <c r="Q18" s="12" t="inlineStr">
        <is>
          <t>-</t>
        </is>
      </c>
      <c r="R18" s="12" t="inlineStr">
        <is>
          <t>-</t>
        </is>
      </c>
      <c r="S18" s="12" t="inlineStr">
        <is>
          <t>-</t>
        </is>
      </c>
      <c r="T18" s="36" t="inlineStr">
        <is>
          <t>ميدة سملات تحت حوائط الدور الأرضي</t>
        </is>
      </c>
      <c r="U18" s="46" t="n"/>
      <c r="V18" s="46" t="n"/>
    </row>
    <row r="19" ht="22" customHeight="1">
      <c r="A19" s="20" t="n">
        <v>14</v>
      </c>
      <c r="B19" s="40" t="inlineStr">
        <is>
          <t>ميدة م2</t>
        </is>
      </c>
      <c r="C19" s="20" t="n">
        <v>8</v>
      </c>
      <c r="D19" s="20" t="n">
        <v>6.2</v>
      </c>
      <c r="E19" s="20" t="n">
        <v>0.3</v>
      </c>
      <c r="F19" s="20" t="n">
        <v>0.7</v>
      </c>
      <c r="G19" s="20" t="n">
        <v>5</v>
      </c>
      <c r="H19" s="40" t="n">
        <v>16</v>
      </c>
      <c r="I19" s="41" t="inlineStr">
        <is>
          <t>علوي رئيسي</t>
        </is>
      </c>
      <c r="J19" s="20" t="n">
        <v>4</v>
      </c>
      <c r="K19" s="40">
        <f>C19*J19</f>
        <v/>
      </c>
      <c r="L19" s="43">
        <f>D18+0.85</f>
        <v/>
      </c>
      <c r="M19" s="23">
        <f>K19*L19</f>
        <v/>
      </c>
      <c r="N19" s="21">
        <f>ROUND((H19^2)/162, 3)</f>
        <v/>
      </c>
      <c r="O19" s="44">
        <f>M19*N19</f>
        <v/>
      </c>
      <c r="P19" s="24">
        <f>O19/1000</f>
        <v/>
      </c>
      <c r="Q19" s="20" t="inlineStr">
        <is>
          <t>-</t>
        </is>
      </c>
      <c r="R19" s="20" t="inlineStr">
        <is>
          <t>-</t>
        </is>
      </c>
      <c r="S19" s="20" t="inlineStr">
        <is>
          <t>-</t>
        </is>
      </c>
      <c r="T19" s="41" t="inlineStr">
        <is>
          <t>تمديد الأرجل داخل القواعد 60Φ</t>
        </is>
      </c>
      <c r="U19" s="47" t="n"/>
      <c r="V19" s="47" t="n"/>
    </row>
    <row r="20" ht="22" customHeight="1">
      <c r="A20" s="12" t="n">
        <v>15</v>
      </c>
      <c r="B20" s="35" t="inlineStr">
        <is>
          <t>ميدة م2</t>
        </is>
      </c>
      <c r="C20" s="12" t="n">
        <v>8</v>
      </c>
      <c r="D20" s="12" t="n">
        <v>6.2</v>
      </c>
      <c r="E20" s="12" t="n">
        <v>0.3</v>
      </c>
      <c r="F20" s="12" t="n">
        <v>0.7</v>
      </c>
      <c r="G20" s="12" t="n">
        <v>5</v>
      </c>
      <c r="H20" s="35" t="n">
        <v>10</v>
      </c>
      <c r="I20" s="36" t="inlineStr">
        <is>
          <t>براندات انكماش</t>
        </is>
      </c>
      <c r="J20" s="12" t="n">
        <v>4</v>
      </c>
      <c r="K20" s="35">
        <f>C20*J20</f>
        <v/>
      </c>
      <c r="L20" s="38">
        <f>D18+0.50</f>
        <v/>
      </c>
      <c r="M20" s="15">
        <f>K20*L20</f>
        <v/>
      </c>
      <c r="N20" s="13">
        <f>ROUND((H20^2)/162, 3)</f>
        <v/>
      </c>
      <c r="O20" s="39">
        <f>M20*N20</f>
        <v/>
      </c>
      <c r="P20" s="16">
        <f>O20/1000</f>
        <v/>
      </c>
      <c r="Q20" s="12" t="inlineStr">
        <is>
          <t>-</t>
        </is>
      </c>
      <c r="R20" s="12" t="inlineStr">
        <is>
          <t>-</t>
        </is>
      </c>
      <c r="S20" s="12" t="inlineStr">
        <is>
          <t>-</t>
        </is>
      </c>
      <c r="T20" s="36" t="inlineStr">
        <is>
          <t>براندتين بكل جهة</t>
        </is>
      </c>
      <c r="U20" s="46" t="n"/>
      <c r="V20" s="46" t="n"/>
    </row>
    <row r="21" ht="22" customHeight="1">
      <c r="A21" s="20" t="n">
        <v>16</v>
      </c>
      <c r="B21" s="40" t="inlineStr">
        <is>
          <t>ميدة م2</t>
        </is>
      </c>
      <c r="C21" s="20" t="n">
        <v>8</v>
      </c>
      <c r="D21" s="20" t="n">
        <v>6.2</v>
      </c>
      <c r="E21" s="20" t="n">
        <v>0.3</v>
      </c>
      <c r="F21" s="20" t="n">
        <v>0.7</v>
      </c>
      <c r="G21" s="20" t="n">
        <v>5</v>
      </c>
      <c r="H21" s="40" t="n">
        <v>8</v>
      </c>
      <c r="I21" s="41" t="inlineStr">
        <is>
          <t>كانات صندوقية 2 فرع</t>
        </is>
      </c>
      <c r="J21" s="20">
        <f>ROUNDUP(D18*6, 0)+1</f>
        <v/>
      </c>
      <c r="K21" s="40">
        <f>C21*J21</f>
        <v/>
      </c>
      <c r="L21" s="43">
        <f>2*(E18-0.10)+2*(F18-0.10)+0.16</f>
        <v/>
      </c>
      <c r="M21" s="23">
        <f>K21*L21</f>
        <v/>
      </c>
      <c r="N21" s="21">
        <f>ROUND((H21^2)/162, 3)</f>
        <v/>
      </c>
      <c r="O21" s="44">
        <f>M21*N21</f>
        <v/>
      </c>
      <c r="P21" s="24">
        <f>O21/1000</f>
        <v/>
      </c>
      <c r="Q21" s="20" t="n">
        <v>2</v>
      </c>
      <c r="R21" s="20" t="inlineStr">
        <is>
          <t>6 كانات / م</t>
        </is>
      </c>
      <c r="S21" s="42">
        <f>2*(E18-0.10)+2*(F18-0.10)+0.16</f>
        <v/>
      </c>
      <c r="T21" s="41" t="inlineStr">
        <is>
          <t>توزيع منتظم</t>
        </is>
      </c>
      <c r="U21" s="47" t="n"/>
      <c r="V21" s="47" t="n"/>
    </row>
    <row r="22" ht="26" customHeight="1">
      <c r="A22" s="28" t="inlineStr">
        <is>
          <t>الإجمالي الكلي لحديد الشدادات والميد</t>
        </is>
      </c>
      <c r="B22" s="28" t="n"/>
      <c r="C22" s="28" t="n"/>
      <c r="D22" s="28" t="n"/>
      <c r="E22" s="28" t="n"/>
      <c r="F22" s="28" t="n"/>
      <c r="G22" s="28" t="n"/>
      <c r="H22" s="28" t="n"/>
      <c r="I22" s="28" t="n"/>
      <c r="J22" s="28" t="n"/>
      <c r="K22" s="31">
        <f>SUM(K6:K21)</f>
        <v/>
      </c>
      <c r="L22" s="28" t="n"/>
      <c r="M22" s="29">
        <f>SUM(M6:M21)</f>
        <v/>
      </c>
      <c r="N22" s="28" t="n"/>
      <c r="O22" s="45">
        <f>SUM(O6:O21)</f>
        <v/>
      </c>
      <c r="P22" s="30">
        <f>SUM(P6:P21)</f>
        <v/>
      </c>
      <c r="Q22" s="28" t="n"/>
      <c r="R22" s="28" t="n"/>
      <c r="S22" s="28" t="n"/>
      <c r="T22" s="28" t="n"/>
      <c r="U22" s="28" t="n"/>
      <c r="V22" s="28" t="n"/>
    </row>
  </sheetData>
  <mergeCells count="35">
    <mergeCell ref="A2:V2"/>
    <mergeCell ref="C4:C5"/>
    <mergeCell ref="T9:V9"/>
    <mergeCell ref="A22:J22"/>
    <mergeCell ref="Q4:S4"/>
    <mergeCell ref="O4:O5"/>
    <mergeCell ref="T12:V12"/>
    <mergeCell ref="T21:V21"/>
    <mergeCell ref="T11:V11"/>
    <mergeCell ref="D4:F4"/>
    <mergeCell ref="J4:J5"/>
    <mergeCell ref="T8:V8"/>
    <mergeCell ref="L4:L5"/>
    <mergeCell ref="T17:V17"/>
    <mergeCell ref="T4:V5"/>
    <mergeCell ref="T13:V13"/>
    <mergeCell ref="T7:V7"/>
    <mergeCell ref="T16:V16"/>
    <mergeCell ref="T6:V6"/>
    <mergeCell ref="T19:V19"/>
    <mergeCell ref="A4:A5"/>
    <mergeCell ref="A1:V1"/>
    <mergeCell ref="G4:G5"/>
    <mergeCell ref="I4:I5"/>
    <mergeCell ref="K4:K5"/>
    <mergeCell ref="T18:V18"/>
    <mergeCell ref="T15:V15"/>
    <mergeCell ref="T20:V20"/>
    <mergeCell ref="T14:V14"/>
    <mergeCell ref="M4:M5"/>
    <mergeCell ref="B4:B5"/>
    <mergeCell ref="H4:H5"/>
    <mergeCell ref="N4:N5"/>
    <mergeCell ref="P4:P5"/>
    <mergeCell ref="T10:V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1" rightToLeft="1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6" customHeight="1">
      <c r="A1" s="1" t="inlineStr">
        <is>
          <t>المرجع الفني والمعادلات الحسابية لتفريد وحصر حديد التسليح وفق الأكواد المعتمدة</t>
        </is>
      </c>
    </row>
    <row r="3">
      <c r="A3" s="10" t="inlineStr">
        <is>
          <t>1. جدول الخصائص القياسية لأقطار حديد التسليح (Standard Rebar Properties):</t>
        </is>
      </c>
    </row>
    <row r="4" ht="28" customHeight="1">
      <c r="A4" s="11" t="inlineStr">
        <is>
          <t>القطر الاسمي (Φ ملم)</t>
        </is>
      </c>
      <c r="B4" s="11" t="inlineStr">
        <is>
          <t>مساحة المقطع (سم²)</t>
        </is>
      </c>
      <c r="C4" s="11" t="inlineStr">
        <is>
          <t>وزن المتر الطولي النظري (كجم/م)</t>
        </is>
      </c>
      <c r="D4" s="11" t="inlineStr">
        <is>
          <t>عدد الأسياخ القياسية (12م) في الطن</t>
        </is>
      </c>
      <c r="E4" s="11" t="inlineStr">
        <is>
          <t>طول التماسك بالشد (Ld = 50Φ)</t>
        </is>
      </c>
      <c r="F4" s="11" t="inlineStr">
        <is>
          <t>طول التماسك بالضغط (Ld = 40Φ)</t>
        </is>
      </c>
      <c r="G4" s="11" t="inlineStr">
        <is>
          <t>طول الوصلة المتراكبة (Lap = 60Φ)</t>
        </is>
      </c>
      <c r="H4" s="11" t="inlineStr">
        <is>
          <t>أقل طول لقفل الكانة الزلزالية (10Φ)</t>
        </is>
      </c>
    </row>
    <row r="5" ht="20" customHeight="1">
      <c r="A5" s="35" t="inlineStr">
        <is>
          <t>Φ 8</t>
        </is>
      </c>
      <c r="B5" s="13" t="n">
        <v>0.503</v>
      </c>
      <c r="C5" s="13">
        <f>ROUND((8^2)/162, 3)</f>
        <v/>
      </c>
      <c r="D5" s="48">
        <f>ROUND(1000/(C5*12), 1)</f>
        <v/>
      </c>
      <c r="E5" s="12" t="inlineStr">
        <is>
          <t>0.40 م</t>
        </is>
      </c>
      <c r="F5" s="12" t="inlineStr">
        <is>
          <t>0.32 م</t>
        </is>
      </c>
      <c r="G5" s="12" t="inlineStr">
        <is>
          <t>0.48 م</t>
        </is>
      </c>
      <c r="H5" s="12" t="inlineStr">
        <is>
          <t>8.0 سم</t>
        </is>
      </c>
    </row>
    <row r="6" ht="20" customHeight="1">
      <c r="A6" s="40" t="inlineStr">
        <is>
          <t>Φ 10</t>
        </is>
      </c>
      <c r="B6" s="21" t="n">
        <v>0.785</v>
      </c>
      <c r="C6" s="21">
        <f>ROUND((10^2)/162, 3)</f>
        <v/>
      </c>
      <c r="D6" s="49">
        <f>ROUND(1000/(C6*12), 1)</f>
        <v/>
      </c>
      <c r="E6" s="20" t="inlineStr">
        <is>
          <t>0.50 م</t>
        </is>
      </c>
      <c r="F6" s="20" t="inlineStr">
        <is>
          <t>0.40 م</t>
        </is>
      </c>
      <c r="G6" s="20" t="inlineStr">
        <is>
          <t>0.60 م</t>
        </is>
      </c>
      <c r="H6" s="20" t="inlineStr">
        <is>
          <t>10.0 سم</t>
        </is>
      </c>
    </row>
    <row r="7" ht="20" customHeight="1">
      <c r="A7" s="35" t="inlineStr">
        <is>
          <t>Φ 12</t>
        </is>
      </c>
      <c r="B7" s="13" t="n">
        <v>1.131</v>
      </c>
      <c r="C7" s="13">
        <f>ROUND((12^2)/162, 3)</f>
        <v/>
      </c>
      <c r="D7" s="48">
        <f>ROUND(1000/(C7*12), 1)</f>
        <v/>
      </c>
      <c r="E7" s="12" t="inlineStr">
        <is>
          <t>0.60 م</t>
        </is>
      </c>
      <c r="F7" s="12" t="inlineStr">
        <is>
          <t>0.48 م</t>
        </is>
      </c>
      <c r="G7" s="12" t="inlineStr">
        <is>
          <t>0.72 م</t>
        </is>
      </c>
      <c r="H7" s="12" t="inlineStr">
        <is>
          <t>12.0 سم</t>
        </is>
      </c>
    </row>
    <row r="8" ht="20" customHeight="1">
      <c r="A8" s="40" t="inlineStr">
        <is>
          <t>Φ 14</t>
        </is>
      </c>
      <c r="B8" s="21" t="n">
        <v>1.539</v>
      </c>
      <c r="C8" s="21">
        <f>ROUND((14^2)/162, 3)</f>
        <v/>
      </c>
      <c r="D8" s="49">
        <f>ROUND(1000/(C8*12), 1)</f>
        <v/>
      </c>
      <c r="E8" s="20" t="inlineStr">
        <is>
          <t>0.70 م</t>
        </is>
      </c>
      <c r="F8" s="20" t="inlineStr">
        <is>
          <t>0.56 م</t>
        </is>
      </c>
      <c r="G8" s="20" t="inlineStr">
        <is>
          <t>0.84 م</t>
        </is>
      </c>
      <c r="H8" s="20" t="inlineStr">
        <is>
          <t>14.0 سم</t>
        </is>
      </c>
    </row>
    <row r="9" ht="20" customHeight="1">
      <c r="A9" s="35" t="inlineStr">
        <is>
          <t>Φ 16</t>
        </is>
      </c>
      <c r="B9" s="13" t="n">
        <v>2.011</v>
      </c>
      <c r="C9" s="13">
        <f>ROUND((16^2)/162, 3)</f>
        <v/>
      </c>
      <c r="D9" s="48">
        <f>ROUND(1000/(C9*12), 1)</f>
        <v/>
      </c>
      <c r="E9" s="12" t="inlineStr">
        <is>
          <t>0.80 م</t>
        </is>
      </c>
      <c r="F9" s="12" t="inlineStr">
        <is>
          <t>0.64 م</t>
        </is>
      </c>
      <c r="G9" s="12" t="inlineStr">
        <is>
          <t>0.96 م</t>
        </is>
      </c>
      <c r="H9" s="12" t="inlineStr">
        <is>
          <t>16.0 سم</t>
        </is>
      </c>
    </row>
    <row r="10" ht="20" customHeight="1">
      <c r="A10" s="40" t="inlineStr">
        <is>
          <t>Φ 18</t>
        </is>
      </c>
      <c r="B10" s="21" t="n">
        <v>2.545</v>
      </c>
      <c r="C10" s="21">
        <f>ROUND((18^2)/162, 3)</f>
        <v/>
      </c>
      <c r="D10" s="49">
        <f>ROUND(1000/(C10*12), 1)</f>
        <v/>
      </c>
      <c r="E10" s="20" t="inlineStr">
        <is>
          <t>0.90 م</t>
        </is>
      </c>
      <c r="F10" s="20" t="inlineStr">
        <is>
          <t>0.72 م</t>
        </is>
      </c>
      <c r="G10" s="20" t="inlineStr">
        <is>
          <t>1.08 م</t>
        </is>
      </c>
      <c r="H10" s="20" t="inlineStr">
        <is>
          <t>18.0 سم</t>
        </is>
      </c>
    </row>
    <row r="11" ht="20" customHeight="1">
      <c r="A11" s="35" t="inlineStr">
        <is>
          <t>Φ 20</t>
        </is>
      </c>
      <c r="B11" s="13" t="n">
        <v>3.142</v>
      </c>
      <c r="C11" s="13">
        <f>ROUND((20^2)/162, 3)</f>
        <v/>
      </c>
      <c r="D11" s="48">
        <f>ROUND(1000/(C11*12), 1)</f>
        <v/>
      </c>
      <c r="E11" s="12" t="inlineStr">
        <is>
          <t>1.00 م</t>
        </is>
      </c>
      <c r="F11" s="12" t="inlineStr">
        <is>
          <t>0.80 م</t>
        </is>
      </c>
      <c r="G11" s="12" t="inlineStr">
        <is>
          <t>1.20 م</t>
        </is>
      </c>
      <c r="H11" s="12" t="inlineStr">
        <is>
          <t>20.0 سم</t>
        </is>
      </c>
    </row>
    <row r="12" ht="20" customHeight="1">
      <c r="A12" s="40" t="inlineStr">
        <is>
          <t>Φ 22</t>
        </is>
      </c>
      <c r="B12" s="21" t="n">
        <v>3.801</v>
      </c>
      <c r="C12" s="21">
        <f>ROUND((22^2)/162, 3)</f>
        <v/>
      </c>
      <c r="D12" s="49">
        <f>ROUND(1000/(C12*12), 1)</f>
        <v/>
      </c>
      <c r="E12" s="20" t="inlineStr">
        <is>
          <t>1.10 م</t>
        </is>
      </c>
      <c r="F12" s="20" t="inlineStr">
        <is>
          <t>0.88 م</t>
        </is>
      </c>
      <c r="G12" s="20" t="inlineStr">
        <is>
          <t>1.32 م</t>
        </is>
      </c>
      <c r="H12" s="20" t="inlineStr">
        <is>
          <t>22.0 سم</t>
        </is>
      </c>
    </row>
    <row r="13" ht="20" customHeight="1">
      <c r="A13" s="35" t="inlineStr">
        <is>
          <t>Φ 25</t>
        </is>
      </c>
      <c r="B13" s="13" t="n">
        <v>4.909</v>
      </c>
      <c r="C13" s="13">
        <f>ROUND((25^2)/162, 3)</f>
        <v/>
      </c>
      <c r="D13" s="48">
        <f>ROUND(1000/(C13*12), 1)</f>
        <v/>
      </c>
      <c r="E13" s="12" t="inlineStr">
        <is>
          <t>1.25 م</t>
        </is>
      </c>
      <c r="F13" s="12" t="inlineStr">
        <is>
          <t>1.00 م</t>
        </is>
      </c>
      <c r="G13" s="12" t="inlineStr">
        <is>
          <t>1.50 م</t>
        </is>
      </c>
      <c r="H13" s="12" t="inlineStr">
        <is>
          <t>25.0 سم</t>
        </is>
      </c>
    </row>
    <row r="14" ht="20" customHeight="1">
      <c r="A14" s="40" t="inlineStr">
        <is>
          <t>Φ 28</t>
        </is>
      </c>
      <c r="B14" s="21" t="n">
        <v>6.158</v>
      </c>
      <c r="C14" s="21">
        <f>ROUND((28^2)/162, 3)</f>
        <v/>
      </c>
      <c r="D14" s="49">
        <f>ROUND(1000/(C14*12), 1)</f>
        <v/>
      </c>
      <c r="E14" s="20" t="inlineStr">
        <is>
          <t>1.40 م</t>
        </is>
      </c>
      <c r="F14" s="20" t="inlineStr">
        <is>
          <t>1.12 م</t>
        </is>
      </c>
      <c r="G14" s="20" t="inlineStr">
        <is>
          <t>1.68 م</t>
        </is>
      </c>
      <c r="H14" s="20" t="inlineStr">
        <is>
          <t>28.0 سم</t>
        </is>
      </c>
    </row>
    <row r="15" ht="20" customHeight="1">
      <c r="A15" s="35" t="inlineStr">
        <is>
          <t>Φ 32</t>
        </is>
      </c>
      <c r="B15" s="13" t="n">
        <v>8.042</v>
      </c>
      <c r="C15" s="13">
        <f>ROUND((32^2)/162, 3)</f>
        <v/>
      </c>
      <c r="D15" s="48">
        <f>ROUND(1000/(C15*12), 1)</f>
        <v/>
      </c>
      <c r="E15" s="12" t="inlineStr">
        <is>
          <t>1.60 م</t>
        </is>
      </c>
      <c r="F15" s="12" t="inlineStr">
        <is>
          <t>1.28 م</t>
        </is>
      </c>
      <c r="G15" s="12" t="inlineStr">
        <is>
          <t>1.92 م</t>
        </is>
      </c>
      <c r="H15" s="12" t="inlineStr">
        <is>
          <t>32.0 سم</t>
        </is>
      </c>
    </row>
    <row r="18">
      <c r="A18" s="10" t="inlineStr">
        <is>
          <t>2. القوانين والمعادلات الهندسية المبرمجة بالشيت:</t>
        </is>
      </c>
    </row>
    <row r="19" ht="24" customHeight="1">
      <c r="A19" s="50" t="inlineStr">
        <is>
          <t>معادلة وزن المتر الطولي للحديد:</t>
        </is>
      </c>
      <c r="B19" s="51" t="n"/>
      <c r="C19" s="52" t="inlineStr">
        <is>
          <t>W = D² / 162.2 (كجم/م)</t>
        </is>
      </c>
      <c r="D19" s="51" t="n"/>
      <c r="E19" s="41" t="inlineStr">
        <is>
          <t>حيث D هو قطر السيخ بالملليمتر وتنتج من كثافة الصلب (7850 كجم/م3) مقسومة على مساحة المقطع.</t>
        </is>
      </c>
      <c r="F19" s="51" t="n"/>
      <c r="G19" s="51" t="n"/>
      <c r="H19" s="51" t="n"/>
    </row>
    <row r="20" ht="24" customHeight="1">
      <c r="A20" s="50" t="inlineStr">
        <is>
          <t>معادلة خصم ثنيات التشكيل (Bend Deduction):</t>
        </is>
      </c>
      <c r="B20" s="51" t="n"/>
      <c r="C20" s="52" t="inlineStr">
        <is>
          <t>خصم 2D لكل ثنية 90 درجة، و 1D لكل ثنية 45 درجة</t>
        </is>
      </c>
      <c r="D20" s="51" t="n"/>
      <c r="E20" s="41" t="inlineStr">
        <is>
          <t>تخصم لتعويض استطالة الألياف الخارجية للسيخ أثناء الثني على البنك لضبط أبعاد القواعد بدقة.</t>
        </is>
      </c>
      <c r="F20" s="51" t="n"/>
      <c r="G20" s="51" t="n"/>
      <c r="H20" s="51" t="n"/>
    </row>
    <row r="21" ht="24" customHeight="1">
      <c r="A21" s="50" t="inlineStr">
        <is>
          <t>معادلة طول قطع السيخ للقاعدة (حرف U):</t>
        </is>
      </c>
      <c r="B21" s="51" t="n"/>
      <c r="C21" s="52" t="inlineStr">
        <is>
          <t>Cutting Length = (H - 2*Cover) + (L - 2*Cover) + (H - 2*Cover) - خصم الثنيات</t>
        </is>
      </c>
      <c r="D21" s="51" t="n"/>
      <c r="E21" s="41" t="inlineStr">
        <is>
          <t>تضمن بقاء الغطاء الخرساني (5 سم إلى 7 سم للقواعد) ثابتاً من جميع الجهات.</t>
        </is>
      </c>
      <c r="F21" s="51" t="n"/>
      <c r="G21" s="51" t="n"/>
      <c r="H21" s="51" t="n"/>
    </row>
    <row r="22" ht="24" customHeight="1">
      <c r="A22" s="50" t="inlineStr">
        <is>
          <t>معادلة حساب هالك الحديد التقديري (Scrap %):</t>
        </is>
      </c>
      <c r="B22" s="51" t="n"/>
      <c r="C22" s="52" t="inlineStr">
        <is>
          <t>وزن التوريد = الوزن النظري الصافي × (1 + نسبة الهالك)</t>
        </is>
      </c>
      <c r="D22" s="51" t="n"/>
      <c r="E22" s="41" t="inlineStr">
        <is>
          <t>تتراوح نسبة الهالك في القواعد والميد بين 3% إلى 5% وتصل إلى 7% في المنشآت غير المنتظمة.</t>
        </is>
      </c>
      <c r="F22" s="51" t="n"/>
      <c r="G22" s="51" t="n"/>
      <c r="H22" s="51" t="n"/>
    </row>
    <row r="23" ht="24" customHeight="1">
      <c r="A23" s="50" t="inlineStr">
        <is>
          <t>معادلة كانات الشدادات والميد:</t>
        </is>
      </c>
      <c r="B23" s="51" t="n"/>
      <c r="C23" s="52" t="inlineStr">
        <is>
          <t>طول الكانة = 2 × (العرض الصافي + العمق الصافي) + 2 × طول قفل الكانة الزلزالية (10Φ)</t>
        </is>
      </c>
      <c r="D23" s="51" t="n"/>
      <c r="E23" s="41" t="inlineStr">
        <is>
          <t>مع تفريغ قفل الكانات بزاوية 135 درجة وتبادل مواضع الأقفال.</t>
        </is>
      </c>
      <c r="F23" s="51" t="n"/>
      <c r="G23" s="51" t="n"/>
      <c r="H23" s="51" t="n"/>
    </row>
  </sheetData>
  <mergeCells count="17">
    <mergeCell ref="A18:H18"/>
    <mergeCell ref="C20:D20"/>
    <mergeCell ref="A20:B20"/>
    <mergeCell ref="A21:B21"/>
    <mergeCell ref="E23:H23"/>
    <mergeCell ref="C21:D21"/>
    <mergeCell ref="A19:B19"/>
    <mergeCell ref="C19:D19"/>
    <mergeCell ref="E20:H20"/>
    <mergeCell ref="E21:H21"/>
    <mergeCell ref="A23:B23"/>
    <mergeCell ref="C22:D22"/>
    <mergeCell ref="A1:H1"/>
    <mergeCell ref="E19:H19"/>
    <mergeCell ref="C23:D23"/>
    <mergeCell ref="A22:B22"/>
    <mergeCell ref="E22:H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2026-10-01T03:16:07Z</dcterms:created>
  <dcterms:modified xmlns:dcterms="http://purl.org/dc/terms/" xmlns:xsi="http://www.w3.org/2001/XMLSchema-instance" xsi:type="dcterms:W3CDTF">2026-10-01T03:16:08Z</dcterms:modified>
</cp:coreProperties>
</file>